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ye0\Desktop\"/>
    </mc:Choice>
  </mc:AlternateContent>
  <bookViews>
    <workbookView xWindow="0" yWindow="0" windowWidth="19200" windowHeight="8050" tabRatio="828"/>
  </bookViews>
  <sheets>
    <sheet name="2025년 추경예산(안) 지부별총괄표" sheetId="1" r:id="rId1"/>
    <sheet name="총괄표(세입.세출)" sheetId="2" r:id="rId2"/>
    <sheet name="1. 본부사무국" sheetId="3" r:id="rId3"/>
    <sheet name="2.서울지부" sheetId="4" r:id="rId4"/>
    <sheet name="3.부산지부" sheetId="14" r:id="rId5"/>
    <sheet name="4. 서울Y 봉천종합사회복지관" sheetId="6" r:id="rId6"/>
    <sheet name="5.서울Y누리봄" sheetId="7" state="hidden" r:id="rId7"/>
    <sheet name="7. 강서구어린이집" sheetId="8" state="hidden" r:id="rId8"/>
    <sheet name="5.은학의집(총괄)" sheetId="15" r:id="rId9"/>
    <sheet name="5-1.은학의집(재가복지)" sheetId="16" r:id="rId10"/>
    <sheet name="5-2은학의집(요양시설)" sheetId="17" r:id="rId11"/>
    <sheet name="6.울산씨밀레" sheetId="18" r:id="rId12"/>
    <sheet name="7.강서구지역자활센터(장기요양사업)" sheetId="19" r:id="rId13"/>
    <sheet name="Sheet1" sheetId="13" state="hidden" r:id="rId14"/>
  </sheets>
  <externalReferences>
    <externalReference r:id="rId15"/>
    <externalReference r:id="rId16"/>
  </externalReferences>
  <definedNames>
    <definedName name="_xlnm.Print_Area" localSheetId="3">'2.서울지부'!$A$26:$G$52</definedName>
  </definedNames>
  <calcPr calcId="162913" iterateDelta="1.0000000474974513E-3"/>
</workbook>
</file>

<file path=xl/calcChain.xml><?xml version="1.0" encoding="utf-8"?>
<calcChain xmlns="http://schemas.openxmlformats.org/spreadsheetml/2006/main">
  <c r="F118" i="2" l="1"/>
  <c r="E118" i="2"/>
  <c r="F108" i="2"/>
  <c r="G108" i="2"/>
  <c r="H108" i="2"/>
  <c r="E108" i="2"/>
  <c r="G18" i="3" l="1"/>
  <c r="E119" i="6" l="1"/>
  <c r="E118" i="6"/>
  <c r="F190" i="2"/>
  <c r="G190" i="2"/>
  <c r="E190" i="2"/>
  <c r="E188" i="2"/>
  <c r="F188" i="2"/>
  <c r="G188" i="2"/>
  <c r="F187" i="2"/>
  <c r="G187" i="2"/>
  <c r="E187" i="2"/>
  <c r="E185" i="2"/>
  <c r="F185" i="2"/>
  <c r="G185" i="2"/>
  <c r="F184" i="2"/>
  <c r="G184" i="2"/>
  <c r="E184" i="2"/>
  <c r="E182" i="2"/>
  <c r="F182" i="2"/>
  <c r="G182" i="2"/>
  <c r="F181" i="2"/>
  <c r="G181" i="2"/>
  <c r="E181" i="2"/>
  <c r="G179" i="2"/>
  <c r="F179" i="2"/>
  <c r="E179" i="2"/>
  <c r="F178" i="2"/>
  <c r="G178" i="2"/>
  <c r="H178" i="2"/>
  <c r="E178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34" i="2"/>
  <c r="F134" i="2"/>
  <c r="G134" i="2"/>
  <c r="F135" i="2"/>
  <c r="G135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F123" i="2"/>
  <c r="G123" i="2"/>
  <c r="E135" i="2"/>
  <c r="E123" i="2"/>
  <c r="F56" i="2"/>
  <c r="G56" i="2"/>
  <c r="E56" i="2"/>
  <c r="F54" i="2"/>
  <c r="G54" i="2"/>
  <c r="E54" i="2"/>
  <c r="F50" i="2"/>
  <c r="G50" i="2"/>
  <c r="E50" i="2"/>
  <c r="F44" i="2"/>
  <c r="G44" i="2"/>
  <c r="E44" i="2"/>
  <c r="F43" i="2"/>
  <c r="G43" i="2"/>
  <c r="E43" i="2"/>
  <c r="F31" i="2"/>
  <c r="G31" i="2"/>
  <c r="E31" i="2"/>
  <c r="G111" i="19"/>
  <c r="F111" i="19"/>
  <c r="E111" i="19"/>
  <c r="D111" i="19"/>
  <c r="G109" i="19"/>
  <c r="G108" i="19"/>
  <c r="F108" i="19"/>
  <c r="E108" i="19"/>
  <c r="D108" i="19"/>
  <c r="G107" i="19"/>
  <c r="F105" i="19"/>
  <c r="E105" i="19"/>
  <c r="D105" i="19"/>
  <c r="D106" i="19" s="1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F82" i="19"/>
  <c r="F106" i="19" s="1"/>
  <c r="E82" i="19"/>
  <c r="E106" i="19" s="1"/>
  <c r="D82" i="19"/>
  <c r="G81" i="19"/>
  <c r="G80" i="19"/>
  <c r="G79" i="19"/>
  <c r="G78" i="19"/>
  <c r="G77" i="19"/>
  <c r="F76" i="19"/>
  <c r="G76" i="19" s="1"/>
  <c r="E76" i="19"/>
  <c r="D76" i="19"/>
  <c r="G75" i="19"/>
  <c r="G74" i="19"/>
  <c r="G73" i="19"/>
  <c r="F72" i="19"/>
  <c r="F119" i="19" s="1"/>
  <c r="F71" i="19"/>
  <c r="E71" i="19"/>
  <c r="D71" i="19"/>
  <c r="G71" i="19" s="1"/>
  <c r="H71" i="19" s="1"/>
  <c r="H70" i="19"/>
  <c r="G70" i="19"/>
  <c r="G69" i="19"/>
  <c r="G68" i="19"/>
  <c r="H68" i="19" s="1"/>
  <c r="G66" i="19"/>
  <c r="H66" i="19" s="1"/>
  <c r="G65" i="19"/>
  <c r="H65" i="19" s="1"/>
  <c r="G64" i="19"/>
  <c r="F63" i="19"/>
  <c r="G63" i="19" s="1"/>
  <c r="E63" i="19"/>
  <c r="D63" i="19"/>
  <c r="G62" i="19"/>
  <c r="G60" i="19"/>
  <c r="F59" i="19"/>
  <c r="G59" i="19" s="1"/>
  <c r="H59" i="19" s="1"/>
  <c r="E59" i="19"/>
  <c r="E72" i="19" s="1"/>
  <c r="D59" i="19"/>
  <c r="D72" i="19" s="1"/>
  <c r="G58" i="19"/>
  <c r="H58" i="19" s="1"/>
  <c r="H57" i="19"/>
  <c r="G57" i="19"/>
  <c r="G56" i="19"/>
  <c r="H56" i="19" s="1"/>
  <c r="G54" i="19"/>
  <c r="H54" i="19" s="1"/>
  <c r="G53" i="19"/>
  <c r="H53" i="19" s="1"/>
  <c r="F45" i="19"/>
  <c r="G45" i="19" s="1"/>
  <c r="H45" i="19" s="1"/>
  <c r="E45" i="19"/>
  <c r="D45" i="19"/>
  <c r="D49" i="19" s="1"/>
  <c r="G44" i="19"/>
  <c r="H44" i="19" s="1"/>
  <c r="G42" i="19"/>
  <c r="H42" i="19" s="1"/>
  <c r="G41" i="19"/>
  <c r="F40" i="19"/>
  <c r="G40" i="19" s="1"/>
  <c r="H40" i="19" s="1"/>
  <c r="E40" i="19"/>
  <c r="D40" i="19"/>
  <c r="G38" i="19"/>
  <c r="H38" i="19" s="1"/>
  <c r="F33" i="19"/>
  <c r="G33" i="19" s="1"/>
  <c r="H33" i="19" s="1"/>
  <c r="E33" i="19"/>
  <c r="D33" i="19"/>
  <c r="G32" i="19"/>
  <c r="H32" i="19" s="1"/>
  <c r="H31" i="19"/>
  <c r="G31" i="19"/>
  <c r="F13" i="19"/>
  <c r="F49" i="19" s="1"/>
  <c r="E13" i="19"/>
  <c r="E49" i="19" s="1"/>
  <c r="D13" i="19"/>
  <c r="G9" i="19"/>
  <c r="H9" i="19" s="1"/>
  <c r="G129" i="2" l="1"/>
  <c r="G119" i="19"/>
  <c r="H119" i="19" s="1"/>
  <c r="G106" i="19"/>
  <c r="D119" i="19"/>
  <c r="G49" i="19"/>
  <c r="H49" i="19" s="1"/>
  <c r="E119" i="19"/>
  <c r="G72" i="19"/>
  <c r="H72" i="19" s="1"/>
  <c r="G82" i="19"/>
  <c r="G13" i="19"/>
  <c r="H13" i="19" s="1"/>
  <c r="G105" i="19"/>
  <c r="F110" i="2" l="1"/>
  <c r="G110" i="2"/>
  <c r="E110" i="2"/>
  <c r="F109" i="2"/>
  <c r="G109" i="2"/>
  <c r="E109" i="2"/>
  <c r="G14" i="3" l="1"/>
  <c r="E11" i="1" l="1"/>
  <c r="D11" i="1"/>
  <c r="C11" i="1"/>
  <c r="C14" i="1" s="1"/>
  <c r="F11" i="1" l="1"/>
  <c r="G11" i="1" s="1"/>
  <c r="D8" i="1"/>
  <c r="E8" i="1"/>
  <c r="F8" i="1" s="1"/>
  <c r="C8" i="1"/>
  <c r="E154" i="2" l="1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F153" i="2"/>
  <c r="G153" i="2"/>
  <c r="E153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F147" i="2"/>
  <c r="G147" i="2"/>
  <c r="E147" i="2"/>
  <c r="E144" i="2"/>
  <c r="F144" i="2"/>
  <c r="G144" i="2"/>
  <c r="E145" i="2"/>
  <c r="F145" i="2"/>
  <c r="G145" i="2"/>
  <c r="F143" i="2"/>
  <c r="G143" i="2"/>
  <c r="E143" i="2"/>
  <c r="E131" i="2"/>
  <c r="F131" i="2"/>
  <c r="G131" i="2"/>
  <c r="E132" i="2"/>
  <c r="F132" i="2"/>
  <c r="G132" i="2"/>
  <c r="F130" i="2"/>
  <c r="G130" i="2"/>
  <c r="E130" i="2"/>
  <c r="F116" i="2"/>
  <c r="E116" i="2"/>
  <c r="F114" i="2"/>
  <c r="G114" i="2"/>
  <c r="E114" i="2"/>
  <c r="F112" i="2"/>
  <c r="G112" i="2"/>
  <c r="E112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F100" i="2"/>
  <c r="G100" i="2"/>
  <c r="E100" i="2"/>
  <c r="E98" i="2"/>
  <c r="F98" i="2"/>
  <c r="G98" i="2"/>
  <c r="F97" i="2"/>
  <c r="G97" i="2"/>
  <c r="E97" i="2"/>
  <c r="E94" i="2"/>
  <c r="E59" i="2"/>
  <c r="F59" i="2"/>
  <c r="G59" i="2"/>
  <c r="F58" i="2"/>
  <c r="G58" i="2"/>
  <c r="E58" i="2"/>
  <c r="E55" i="2"/>
  <c r="F55" i="2"/>
  <c r="G55" i="2"/>
  <c r="F53" i="2"/>
  <c r="G53" i="2"/>
  <c r="E53" i="2"/>
  <c r="E51" i="2"/>
  <c r="F51" i="2"/>
  <c r="G51" i="2"/>
  <c r="E47" i="2"/>
  <c r="F47" i="2"/>
  <c r="G47" i="2"/>
  <c r="E48" i="2"/>
  <c r="F48" i="2"/>
  <c r="G48" i="2"/>
  <c r="F46" i="2"/>
  <c r="G46" i="2"/>
  <c r="E46" i="2"/>
  <c r="E41" i="2"/>
  <c r="F41" i="2"/>
  <c r="G41" i="2"/>
  <c r="F40" i="2"/>
  <c r="G40" i="2"/>
  <c r="E40" i="2"/>
  <c r="E36" i="2"/>
  <c r="F36" i="2"/>
  <c r="G36" i="2"/>
  <c r="E37" i="2"/>
  <c r="F37" i="2"/>
  <c r="G37" i="2"/>
  <c r="E38" i="2"/>
  <c r="F38" i="2"/>
  <c r="G38" i="2"/>
  <c r="F35" i="2"/>
  <c r="G35" i="2"/>
  <c r="E35" i="2"/>
  <c r="F33" i="2"/>
  <c r="G33" i="2"/>
  <c r="E33" i="2"/>
  <c r="H118" i="18"/>
  <c r="G118" i="18"/>
  <c r="F111" i="18"/>
  <c r="G111" i="18" s="1"/>
  <c r="H111" i="18" s="1"/>
  <c r="E111" i="18"/>
  <c r="D111" i="18"/>
  <c r="G110" i="18"/>
  <c r="H110" i="18" s="1"/>
  <c r="G109" i="18"/>
  <c r="F108" i="18"/>
  <c r="G108" i="18" s="1"/>
  <c r="D108" i="18"/>
  <c r="G107" i="18"/>
  <c r="F106" i="18"/>
  <c r="F105" i="18"/>
  <c r="G105" i="18" s="1"/>
  <c r="H105" i="18" s="1"/>
  <c r="E105" i="18"/>
  <c r="D105" i="18"/>
  <c r="H104" i="18"/>
  <c r="G104" i="18"/>
  <c r="G103" i="18"/>
  <c r="H103" i="18" s="1"/>
  <c r="G102" i="18"/>
  <c r="H102" i="18" s="1"/>
  <c r="G101" i="18"/>
  <c r="H101" i="18" s="1"/>
  <c r="H92" i="18"/>
  <c r="G92" i="18"/>
  <c r="F82" i="18"/>
  <c r="G82" i="18" s="1"/>
  <c r="H82" i="18" s="1"/>
  <c r="E82" i="18"/>
  <c r="E106" i="18" s="1"/>
  <c r="D82" i="18"/>
  <c r="D106" i="18" s="1"/>
  <c r="G81" i="18"/>
  <c r="H81" i="18" s="1"/>
  <c r="G80" i="18"/>
  <c r="H80" i="18" s="1"/>
  <c r="G79" i="18"/>
  <c r="H79" i="18" s="1"/>
  <c r="G78" i="18"/>
  <c r="H78" i="18" s="1"/>
  <c r="G77" i="18"/>
  <c r="H77" i="18" s="1"/>
  <c r="F76" i="18"/>
  <c r="G76" i="18" s="1"/>
  <c r="H76" i="18" s="1"/>
  <c r="E76" i="18"/>
  <c r="D76" i="18"/>
  <c r="G75" i="18"/>
  <c r="H75" i="18" s="1"/>
  <c r="H73" i="18"/>
  <c r="G73" i="18"/>
  <c r="G71" i="18"/>
  <c r="H71" i="18" s="1"/>
  <c r="F71" i="18"/>
  <c r="E71" i="18"/>
  <c r="D71" i="18"/>
  <c r="G70" i="18"/>
  <c r="H70" i="18" s="1"/>
  <c r="G69" i="18"/>
  <c r="H69" i="18" s="1"/>
  <c r="H68" i="18"/>
  <c r="G68" i="18"/>
  <c r="G67" i="18"/>
  <c r="H67" i="18" s="1"/>
  <c r="G66" i="18"/>
  <c r="H66" i="18" s="1"/>
  <c r="G65" i="18"/>
  <c r="H65" i="18" s="1"/>
  <c r="H64" i="18"/>
  <c r="G64" i="18"/>
  <c r="F63" i="18"/>
  <c r="G63" i="18" s="1"/>
  <c r="H63" i="18" s="1"/>
  <c r="E63" i="18"/>
  <c r="D63" i="18"/>
  <c r="D72" i="18" s="1"/>
  <c r="G62" i="18"/>
  <c r="H62" i="18" s="1"/>
  <c r="G61" i="18"/>
  <c r="H61" i="18" s="1"/>
  <c r="G60" i="18"/>
  <c r="H60" i="18" s="1"/>
  <c r="F59" i="18"/>
  <c r="F72" i="18" s="1"/>
  <c r="E59" i="18"/>
  <c r="E72" i="18" s="1"/>
  <c r="E119" i="18" s="1"/>
  <c r="E122" i="18" s="1"/>
  <c r="D59" i="18"/>
  <c r="G58" i="18"/>
  <c r="H58" i="18" s="1"/>
  <c r="G57" i="18"/>
  <c r="H57" i="18" s="1"/>
  <c r="G56" i="18"/>
  <c r="H56" i="18" s="1"/>
  <c r="H54" i="18"/>
  <c r="G54" i="18"/>
  <c r="G53" i="18"/>
  <c r="H53" i="18" s="1"/>
  <c r="F49" i="18"/>
  <c r="G49" i="18" s="1"/>
  <c r="H49" i="18" s="1"/>
  <c r="E49" i="18"/>
  <c r="D49" i="18"/>
  <c r="F45" i="18"/>
  <c r="G45" i="18" s="1"/>
  <c r="H45" i="18" s="1"/>
  <c r="E45" i="18"/>
  <c r="D45" i="18"/>
  <c r="G42" i="18"/>
  <c r="H42" i="18" s="1"/>
  <c r="F40" i="18"/>
  <c r="G40" i="18" s="1"/>
  <c r="H40" i="18" s="1"/>
  <c r="E40" i="18"/>
  <c r="D40" i="18"/>
  <c r="G39" i="18"/>
  <c r="H39" i="18" s="1"/>
  <c r="G38" i="18"/>
  <c r="H38" i="18" s="1"/>
  <c r="F30" i="18"/>
  <c r="G30" i="18" s="1"/>
  <c r="H30" i="18" s="1"/>
  <c r="E30" i="18"/>
  <c r="D30" i="18"/>
  <c r="G29" i="18"/>
  <c r="H29" i="18" s="1"/>
  <c r="H28" i="18"/>
  <c r="G28" i="18"/>
  <c r="F27" i="18"/>
  <c r="G27" i="18" s="1"/>
  <c r="H27" i="18" s="1"/>
  <c r="E27" i="18"/>
  <c r="D27" i="18"/>
  <c r="G24" i="18"/>
  <c r="H24" i="18" s="1"/>
  <c r="G23" i="18"/>
  <c r="H23" i="18" s="1"/>
  <c r="G133" i="2" l="1"/>
  <c r="G72" i="18"/>
  <c r="H72" i="18" s="1"/>
  <c r="F119" i="18"/>
  <c r="D119" i="18"/>
  <c r="G106" i="18"/>
  <c r="H106" i="18" s="1"/>
  <c r="G59" i="18"/>
  <c r="H59" i="18" s="1"/>
  <c r="G119" i="18" l="1"/>
  <c r="H119" i="18" s="1"/>
  <c r="E93" i="2" l="1"/>
  <c r="F93" i="2"/>
  <c r="G93" i="2"/>
  <c r="F94" i="2"/>
  <c r="G94" i="2"/>
  <c r="E95" i="2"/>
  <c r="F95" i="2"/>
  <c r="G95" i="2"/>
  <c r="F92" i="2"/>
  <c r="G92" i="2"/>
  <c r="E92" i="2"/>
  <c r="H31" i="2"/>
  <c r="G25" i="2"/>
  <c r="G24" i="2"/>
  <c r="G23" i="2"/>
  <c r="F25" i="2"/>
  <c r="F24" i="2"/>
  <c r="F23" i="2"/>
  <c r="E25" i="2"/>
  <c r="E24" i="2"/>
  <c r="E23" i="2"/>
  <c r="G21" i="2"/>
  <c r="G20" i="2"/>
  <c r="F21" i="2"/>
  <c r="F20" i="2"/>
  <c r="E21" i="2"/>
  <c r="E20" i="2"/>
  <c r="G18" i="2"/>
  <c r="F18" i="2"/>
  <c r="E18" i="2"/>
  <c r="H14" i="2"/>
  <c r="H13" i="2"/>
  <c r="G14" i="2"/>
  <c r="G13" i="2"/>
  <c r="F14" i="2"/>
  <c r="F13" i="2"/>
  <c r="E14" i="2"/>
  <c r="E13" i="2"/>
  <c r="H8" i="2"/>
  <c r="H10" i="2" s="1"/>
  <c r="G8" i="2"/>
  <c r="G10" i="2" s="1"/>
  <c r="F8" i="2"/>
  <c r="F10" i="2" s="1"/>
  <c r="K120" i="17"/>
  <c r="G120" i="17"/>
  <c r="G119" i="17"/>
  <c r="H119" i="17" s="1"/>
  <c r="F119" i="17"/>
  <c r="E119" i="17"/>
  <c r="D119" i="17"/>
  <c r="K118" i="17"/>
  <c r="G118" i="17"/>
  <c r="H118" i="17" s="1"/>
  <c r="K117" i="17"/>
  <c r="G117" i="17"/>
  <c r="H117" i="17" s="1"/>
  <c r="K116" i="17"/>
  <c r="F116" i="17"/>
  <c r="E116" i="17"/>
  <c r="D116" i="17"/>
  <c r="K115" i="17"/>
  <c r="G115" i="17"/>
  <c r="H115" i="17" s="1"/>
  <c r="K114" i="17"/>
  <c r="G114" i="17"/>
  <c r="H114" i="17" s="1"/>
  <c r="F113" i="17"/>
  <c r="E113" i="17"/>
  <c r="D113" i="17"/>
  <c r="K112" i="17"/>
  <c r="G112" i="17"/>
  <c r="K111" i="17"/>
  <c r="G111" i="17"/>
  <c r="H111" i="17" s="1"/>
  <c r="K110" i="17"/>
  <c r="F110" i="17"/>
  <c r="G110" i="17" s="1"/>
  <c r="H110" i="17" s="1"/>
  <c r="E110" i="17"/>
  <c r="D110" i="17"/>
  <c r="K109" i="17"/>
  <c r="G109" i="17"/>
  <c r="H109" i="17" s="1"/>
  <c r="G108" i="17"/>
  <c r="F108" i="17"/>
  <c r="E108" i="17"/>
  <c r="D108" i="17"/>
  <c r="G107" i="17"/>
  <c r="F105" i="17"/>
  <c r="E105" i="17"/>
  <c r="D105" i="17"/>
  <c r="K104" i="17"/>
  <c r="G104" i="17"/>
  <c r="K103" i="17"/>
  <c r="G103" i="17"/>
  <c r="K102" i="17"/>
  <c r="G102" i="17"/>
  <c r="K101" i="17"/>
  <c r="G101" i="17"/>
  <c r="K100" i="17"/>
  <c r="G100" i="17"/>
  <c r="H100" i="17" s="1"/>
  <c r="K99" i="17"/>
  <c r="G99" i="17"/>
  <c r="K98" i="17"/>
  <c r="G98" i="17"/>
  <c r="K97" i="17"/>
  <c r="G97" i="17"/>
  <c r="H97" i="17" s="1"/>
  <c r="K96" i="17"/>
  <c r="G96" i="17"/>
  <c r="H96" i="17" s="1"/>
  <c r="K95" i="17"/>
  <c r="G95" i="17"/>
  <c r="H95" i="17" s="1"/>
  <c r="K94" i="17"/>
  <c r="G94" i="17"/>
  <c r="H94" i="17" s="1"/>
  <c r="K93" i="17"/>
  <c r="G93" i="17"/>
  <c r="H93" i="17" s="1"/>
  <c r="K92" i="17"/>
  <c r="G92" i="17"/>
  <c r="K91" i="17"/>
  <c r="G91" i="17"/>
  <c r="K90" i="17"/>
  <c r="G90" i="17"/>
  <c r="K89" i="17"/>
  <c r="G89" i="17"/>
  <c r="K88" i="17"/>
  <c r="G88" i="17"/>
  <c r="K87" i="17"/>
  <c r="G87" i="17"/>
  <c r="K86" i="17"/>
  <c r="G86" i="17"/>
  <c r="K85" i="17"/>
  <c r="G85" i="17"/>
  <c r="K84" i="17"/>
  <c r="G84" i="17"/>
  <c r="K83" i="17"/>
  <c r="G83" i="17"/>
  <c r="F82" i="17"/>
  <c r="G82" i="17" s="1"/>
  <c r="H82" i="17" s="1"/>
  <c r="D82" i="17"/>
  <c r="K81" i="17"/>
  <c r="G81" i="17"/>
  <c r="H81" i="17" s="1"/>
  <c r="K80" i="17"/>
  <c r="G80" i="17"/>
  <c r="H80" i="17" s="1"/>
  <c r="K79" i="17"/>
  <c r="G79" i="17"/>
  <c r="K78" i="17"/>
  <c r="G78" i="17"/>
  <c r="H78" i="17" s="1"/>
  <c r="F77" i="17"/>
  <c r="E77" i="17"/>
  <c r="D77" i="17"/>
  <c r="F76" i="17"/>
  <c r="E76" i="17"/>
  <c r="D76" i="17"/>
  <c r="K75" i="17"/>
  <c r="H75" i="17"/>
  <c r="G75" i="17"/>
  <c r="K74" i="17"/>
  <c r="G74" i="17"/>
  <c r="H74" i="17" s="1"/>
  <c r="K73" i="17"/>
  <c r="G73" i="17"/>
  <c r="H73" i="17" s="1"/>
  <c r="E72" i="17"/>
  <c r="K71" i="17"/>
  <c r="H71" i="17"/>
  <c r="F71" i="17"/>
  <c r="E71" i="17"/>
  <c r="D71" i="17"/>
  <c r="G71" i="17" s="1"/>
  <c r="K70" i="17"/>
  <c r="G70" i="17"/>
  <c r="H70" i="17" s="1"/>
  <c r="K69" i="17"/>
  <c r="G69" i="17"/>
  <c r="K68" i="17"/>
  <c r="G68" i="17"/>
  <c r="H68" i="17" s="1"/>
  <c r="K67" i="17"/>
  <c r="G67" i="17"/>
  <c r="K66" i="17"/>
  <c r="H66" i="17"/>
  <c r="G66" i="17"/>
  <c r="K65" i="17"/>
  <c r="G65" i="17"/>
  <c r="H65" i="17" s="1"/>
  <c r="K64" i="17"/>
  <c r="G64" i="17"/>
  <c r="H64" i="17" s="1"/>
  <c r="K63" i="17"/>
  <c r="F63" i="17"/>
  <c r="E63" i="17"/>
  <c r="D63" i="17"/>
  <c r="D72" i="17" s="1"/>
  <c r="K62" i="17"/>
  <c r="G62" i="17"/>
  <c r="H62" i="17" s="1"/>
  <c r="K61" i="17"/>
  <c r="G61" i="17"/>
  <c r="H61" i="17" s="1"/>
  <c r="K60" i="17"/>
  <c r="G60" i="17"/>
  <c r="H60" i="17" s="1"/>
  <c r="K59" i="17"/>
  <c r="F59" i="17"/>
  <c r="E59" i="17"/>
  <c r="D59" i="17"/>
  <c r="G59" i="17" s="1"/>
  <c r="H59" i="17" s="1"/>
  <c r="K58" i="17"/>
  <c r="G58" i="17"/>
  <c r="K57" i="17"/>
  <c r="H57" i="17"/>
  <c r="G57" i="17"/>
  <c r="K56" i="17"/>
  <c r="G56" i="17"/>
  <c r="H56" i="17" s="1"/>
  <c r="K55" i="17"/>
  <c r="G55" i="17"/>
  <c r="H55" i="17" s="1"/>
  <c r="K54" i="17"/>
  <c r="H54" i="17"/>
  <c r="G54" i="17"/>
  <c r="K53" i="17"/>
  <c r="G53" i="17"/>
  <c r="H53" i="17" s="1"/>
  <c r="K52" i="17"/>
  <c r="K50" i="17"/>
  <c r="D49" i="17"/>
  <c r="K48" i="17"/>
  <c r="G48" i="17"/>
  <c r="H48" i="17" s="1"/>
  <c r="F48" i="17"/>
  <c r="E48" i="17"/>
  <c r="D48" i="17"/>
  <c r="K47" i="17"/>
  <c r="G47" i="17"/>
  <c r="H47" i="17" s="1"/>
  <c r="K46" i="17"/>
  <c r="H46" i="17"/>
  <c r="G46" i="17"/>
  <c r="F45" i="17"/>
  <c r="E45" i="17"/>
  <c r="D45" i="17"/>
  <c r="K44" i="17"/>
  <c r="G44" i="17"/>
  <c r="H44" i="17" s="1"/>
  <c r="K43" i="17"/>
  <c r="G43" i="17"/>
  <c r="H43" i="17" s="1"/>
  <c r="K42" i="17"/>
  <c r="G42" i="17"/>
  <c r="H42" i="17" s="1"/>
  <c r="K41" i="17"/>
  <c r="G41" i="17"/>
  <c r="G40" i="17"/>
  <c r="H40" i="17" s="1"/>
  <c r="F40" i="17"/>
  <c r="D40" i="17"/>
  <c r="K39" i="17"/>
  <c r="G39" i="17"/>
  <c r="G38" i="17"/>
  <c r="H38" i="17" s="1"/>
  <c r="E38" i="17"/>
  <c r="K37" i="17"/>
  <c r="G37" i="17"/>
  <c r="F37" i="17"/>
  <c r="E37" i="17"/>
  <c r="D37" i="17"/>
  <c r="K36" i="17"/>
  <c r="G36" i="17"/>
  <c r="K35" i="17"/>
  <c r="G35" i="17"/>
  <c r="K34" i="17"/>
  <c r="G34" i="17"/>
  <c r="F33" i="17"/>
  <c r="E33" i="17"/>
  <c r="D33" i="17"/>
  <c r="K32" i="17"/>
  <c r="H32" i="17"/>
  <c r="G32" i="17"/>
  <c r="K31" i="17"/>
  <c r="G31" i="17"/>
  <c r="H31" i="17" s="1"/>
  <c r="K30" i="17"/>
  <c r="G30" i="17"/>
  <c r="H30" i="17" s="1"/>
  <c r="F30" i="17"/>
  <c r="E30" i="17"/>
  <c r="D30" i="17"/>
  <c r="K29" i="17"/>
  <c r="G29" i="17"/>
  <c r="K28" i="17"/>
  <c r="G28" i="17"/>
  <c r="H28" i="17" s="1"/>
  <c r="F27" i="17"/>
  <c r="K27" i="17" s="1"/>
  <c r="E27" i="17"/>
  <c r="D27" i="17"/>
  <c r="K26" i="17"/>
  <c r="G26" i="17"/>
  <c r="K25" i="17"/>
  <c r="G25" i="17"/>
  <c r="H25" i="17" s="1"/>
  <c r="K24" i="17"/>
  <c r="G24" i="17"/>
  <c r="K23" i="17"/>
  <c r="G23" i="17"/>
  <c r="K22" i="17"/>
  <c r="F22" i="17"/>
  <c r="G22" i="17" s="1"/>
  <c r="E22" i="17"/>
  <c r="D22" i="17"/>
  <c r="K21" i="17"/>
  <c r="G21" i="17"/>
  <c r="K20" i="17"/>
  <c r="G20" i="17"/>
  <c r="K19" i="17"/>
  <c r="G19" i="17"/>
  <c r="K18" i="17"/>
  <c r="G18" i="17"/>
  <c r="K17" i="17"/>
  <c r="G17" i="17"/>
  <c r="K16" i="17"/>
  <c r="G16" i="17"/>
  <c r="K15" i="17"/>
  <c r="G15" i="17"/>
  <c r="K14" i="17"/>
  <c r="G14" i="17"/>
  <c r="K13" i="17"/>
  <c r="F13" i="17"/>
  <c r="F49" i="17" s="1"/>
  <c r="E13" i="17"/>
  <c r="D13" i="17"/>
  <c r="K12" i="17"/>
  <c r="G12" i="17"/>
  <c r="H12" i="17" s="1"/>
  <c r="K11" i="17"/>
  <c r="H11" i="17"/>
  <c r="G11" i="17"/>
  <c r="K10" i="17"/>
  <c r="G10" i="17"/>
  <c r="H10" i="17" s="1"/>
  <c r="K9" i="17"/>
  <c r="G9" i="17"/>
  <c r="H9" i="17" s="1"/>
  <c r="G8" i="17"/>
  <c r="G120" i="16"/>
  <c r="H120" i="16" s="1"/>
  <c r="E120" i="16"/>
  <c r="K120" i="16" s="1"/>
  <c r="F119" i="16"/>
  <c r="K119" i="16" s="1"/>
  <c r="E119" i="16"/>
  <c r="D119" i="16"/>
  <c r="K118" i="16"/>
  <c r="G118" i="16"/>
  <c r="H118" i="16" s="1"/>
  <c r="K117" i="16"/>
  <c r="G117" i="16"/>
  <c r="H117" i="16" s="1"/>
  <c r="F116" i="16"/>
  <c r="K116" i="16" s="1"/>
  <c r="E116" i="16"/>
  <c r="D116" i="16"/>
  <c r="G116" i="16" s="1"/>
  <c r="H116" i="16" s="1"/>
  <c r="K115" i="16"/>
  <c r="H115" i="16"/>
  <c r="G115" i="16"/>
  <c r="K114" i="16"/>
  <c r="H114" i="16"/>
  <c r="G114" i="16"/>
  <c r="E113" i="16"/>
  <c r="D113" i="16"/>
  <c r="K112" i="16"/>
  <c r="G112" i="16"/>
  <c r="F111" i="16"/>
  <c r="F111" i="15" s="1"/>
  <c r="D111" i="16"/>
  <c r="F110" i="16"/>
  <c r="E110" i="16"/>
  <c r="D110" i="16"/>
  <c r="K109" i="16"/>
  <c r="F109" i="16"/>
  <c r="G109" i="16" s="1"/>
  <c r="H109" i="16" s="1"/>
  <c r="D109" i="16"/>
  <c r="F108" i="16"/>
  <c r="E108" i="16"/>
  <c r="D108" i="16"/>
  <c r="F107" i="16"/>
  <c r="G107" i="16" s="1"/>
  <c r="K104" i="16"/>
  <c r="G104" i="16"/>
  <c r="K103" i="16"/>
  <c r="G103" i="16"/>
  <c r="K102" i="16"/>
  <c r="G102" i="16"/>
  <c r="K101" i="16"/>
  <c r="G101" i="16"/>
  <c r="K100" i="16"/>
  <c r="H100" i="16"/>
  <c r="F100" i="16"/>
  <c r="G100" i="16" s="1"/>
  <c r="E100" i="16"/>
  <c r="D100" i="16"/>
  <c r="K99" i="16"/>
  <c r="G99" i="16"/>
  <c r="K98" i="16"/>
  <c r="G98" i="16"/>
  <c r="H98" i="16" s="1"/>
  <c r="F97" i="16"/>
  <c r="E97" i="16"/>
  <c r="E97" i="15" s="1"/>
  <c r="D97" i="16"/>
  <c r="D97" i="15" s="1"/>
  <c r="K96" i="16"/>
  <c r="G96" i="16"/>
  <c r="H96" i="16" s="1"/>
  <c r="K95" i="16"/>
  <c r="D95" i="16"/>
  <c r="G95" i="16" s="1"/>
  <c r="H95" i="16" s="1"/>
  <c r="K94" i="16"/>
  <c r="G94" i="16"/>
  <c r="H94" i="16" s="1"/>
  <c r="F93" i="16"/>
  <c r="E93" i="16"/>
  <c r="E93" i="15" s="1"/>
  <c r="E105" i="15" s="1"/>
  <c r="D93" i="16"/>
  <c r="D93" i="15" s="1"/>
  <c r="K92" i="16"/>
  <c r="G92" i="16"/>
  <c r="K91" i="16"/>
  <c r="G91" i="16"/>
  <c r="K90" i="16"/>
  <c r="G90" i="16"/>
  <c r="K89" i="16"/>
  <c r="G89" i="16"/>
  <c r="K88" i="16"/>
  <c r="G88" i="16"/>
  <c r="K87" i="16"/>
  <c r="G87" i="16"/>
  <c r="K86" i="16"/>
  <c r="G86" i="16"/>
  <c r="K85" i="16"/>
  <c r="G85" i="16"/>
  <c r="K84" i="16"/>
  <c r="G84" i="16"/>
  <c r="K83" i="16"/>
  <c r="G83" i="16"/>
  <c r="K82" i="16"/>
  <c r="G82" i="16"/>
  <c r="H82" i="16" s="1"/>
  <c r="F82" i="16"/>
  <c r="K81" i="16"/>
  <c r="G81" i="16"/>
  <c r="H81" i="16" s="1"/>
  <c r="K80" i="16"/>
  <c r="G80" i="16"/>
  <c r="H80" i="16" s="1"/>
  <c r="K79" i="16"/>
  <c r="G79" i="16"/>
  <c r="K78" i="16"/>
  <c r="G78" i="16"/>
  <c r="H78" i="16" s="1"/>
  <c r="K77" i="16"/>
  <c r="G77" i="16"/>
  <c r="H77" i="16" s="1"/>
  <c r="F77" i="16"/>
  <c r="E77" i="16"/>
  <c r="E82" i="16" s="1"/>
  <c r="D77" i="16"/>
  <c r="D82" i="16" s="1"/>
  <c r="F76" i="16"/>
  <c r="E76" i="16"/>
  <c r="K75" i="16"/>
  <c r="D75" i="16"/>
  <c r="K74" i="16"/>
  <c r="G74" i="16"/>
  <c r="H74" i="16" s="1"/>
  <c r="D74" i="16"/>
  <c r="K73" i="16"/>
  <c r="D73" i="16"/>
  <c r="F70" i="16"/>
  <c r="E70" i="16"/>
  <c r="D70" i="16"/>
  <c r="D70" i="15" s="1"/>
  <c r="K69" i="16"/>
  <c r="G69" i="16"/>
  <c r="F68" i="16"/>
  <c r="E68" i="16"/>
  <c r="D68" i="16"/>
  <c r="K67" i="16"/>
  <c r="G67" i="16"/>
  <c r="F66" i="16"/>
  <c r="E66" i="16"/>
  <c r="D66" i="16"/>
  <c r="D66" i="15" s="1"/>
  <c r="K65" i="16"/>
  <c r="F65" i="16"/>
  <c r="E65" i="16"/>
  <c r="D65" i="16"/>
  <c r="K64" i="16"/>
  <c r="H64" i="16"/>
  <c r="G64" i="16"/>
  <c r="F64" i="16"/>
  <c r="E64" i="16"/>
  <c r="D64" i="16"/>
  <c r="F62" i="16"/>
  <c r="E62" i="16"/>
  <c r="E62" i="15" s="1"/>
  <c r="D62" i="16"/>
  <c r="D62" i="15" s="1"/>
  <c r="K61" i="16"/>
  <c r="G61" i="16"/>
  <c r="H61" i="16" s="1"/>
  <c r="F60" i="16"/>
  <c r="E60" i="16"/>
  <c r="E60" i="15" s="1"/>
  <c r="D60" i="16"/>
  <c r="E59" i="16"/>
  <c r="D59" i="16"/>
  <c r="K58" i="16"/>
  <c r="G58" i="16"/>
  <c r="F57" i="16"/>
  <c r="E57" i="16"/>
  <c r="D57" i="16"/>
  <c r="G57" i="16" s="1"/>
  <c r="H57" i="16" s="1"/>
  <c r="K56" i="16"/>
  <c r="F56" i="16"/>
  <c r="G56" i="16" s="1"/>
  <c r="H56" i="16" s="1"/>
  <c r="E56" i="16"/>
  <c r="E56" i="15" s="1"/>
  <c r="D56" i="16"/>
  <c r="D56" i="15" s="1"/>
  <c r="K55" i="16"/>
  <c r="G55" i="16"/>
  <c r="H55" i="16" s="1"/>
  <c r="K54" i="16"/>
  <c r="F54" i="16"/>
  <c r="G54" i="16" s="1"/>
  <c r="H54" i="16" s="1"/>
  <c r="E54" i="16"/>
  <c r="D54" i="16"/>
  <c r="K53" i="16"/>
  <c r="F53" i="16"/>
  <c r="E53" i="16"/>
  <c r="D53" i="16"/>
  <c r="K52" i="16"/>
  <c r="K50" i="16"/>
  <c r="G48" i="16"/>
  <c r="H48" i="16" s="1"/>
  <c r="F48" i="16"/>
  <c r="K48" i="16" s="1"/>
  <c r="E48" i="16"/>
  <c r="D48" i="16"/>
  <c r="K47" i="16"/>
  <c r="H47" i="16"/>
  <c r="G47" i="16"/>
  <c r="K46" i="16"/>
  <c r="H46" i="16"/>
  <c r="G46" i="16"/>
  <c r="E45" i="16"/>
  <c r="D45" i="16"/>
  <c r="K44" i="16"/>
  <c r="G44" i="16"/>
  <c r="H44" i="16" s="1"/>
  <c r="F44" i="16"/>
  <c r="D44" i="16"/>
  <c r="K43" i="16"/>
  <c r="G43" i="16"/>
  <c r="H43" i="16" s="1"/>
  <c r="H42" i="16"/>
  <c r="F42" i="16"/>
  <c r="E42" i="16"/>
  <c r="D42" i="16"/>
  <c r="K41" i="16"/>
  <c r="G41" i="16"/>
  <c r="F40" i="16"/>
  <c r="K39" i="16"/>
  <c r="G39" i="16"/>
  <c r="H39" i="16" s="1"/>
  <c r="K38" i="16"/>
  <c r="F38" i="16"/>
  <c r="E38" i="16"/>
  <c r="E40" i="16" s="1"/>
  <c r="D38" i="16"/>
  <c r="G37" i="16"/>
  <c r="H37" i="16" s="1"/>
  <c r="F37" i="16"/>
  <c r="E37" i="16"/>
  <c r="D37" i="16"/>
  <c r="K36" i="16"/>
  <c r="H36" i="16"/>
  <c r="G36" i="16"/>
  <c r="K35" i="16"/>
  <c r="G35" i="16"/>
  <c r="K34" i="16"/>
  <c r="G34" i="16"/>
  <c r="F34" i="16"/>
  <c r="F33" i="16"/>
  <c r="E33" i="16"/>
  <c r="D33" i="16"/>
  <c r="K32" i="16"/>
  <c r="F32" i="16"/>
  <c r="E32" i="16"/>
  <c r="D32" i="16"/>
  <c r="K31" i="16"/>
  <c r="G31" i="16"/>
  <c r="H31" i="16" s="1"/>
  <c r="F31" i="16"/>
  <c r="E31" i="16"/>
  <c r="D31" i="16"/>
  <c r="F30" i="16"/>
  <c r="E30" i="16"/>
  <c r="D30" i="16"/>
  <c r="K29" i="16"/>
  <c r="H29" i="16"/>
  <c r="G29" i="16"/>
  <c r="K28" i="16"/>
  <c r="G28" i="16"/>
  <c r="F27" i="16"/>
  <c r="E27" i="16"/>
  <c r="D27" i="16"/>
  <c r="K26" i="16"/>
  <c r="G26" i="16"/>
  <c r="K25" i="16"/>
  <c r="G25" i="16"/>
  <c r="K24" i="16"/>
  <c r="G24" i="16"/>
  <c r="K23" i="16"/>
  <c r="G23" i="16"/>
  <c r="F22" i="16"/>
  <c r="E22" i="16"/>
  <c r="K22" i="16" s="1"/>
  <c r="D22" i="16"/>
  <c r="K21" i="16"/>
  <c r="G21" i="16"/>
  <c r="K20" i="16"/>
  <c r="G20" i="16"/>
  <c r="K19" i="16"/>
  <c r="G19" i="16"/>
  <c r="K18" i="16"/>
  <c r="G18" i="16"/>
  <c r="H18" i="16" s="1"/>
  <c r="K17" i="16"/>
  <c r="G17" i="16"/>
  <c r="K16" i="16"/>
  <c r="G16" i="16"/>
  <c r="K15" i="16"/>
  <c r="G15" i="16"/>
  <c r="K14" i="16"/>
  <c r="G14" i="16"/>
  <c r="K12" i="16"/>
  <c r="G12" i="16"/>
  <c r="K11" i="16"/>
  <c r="G11" i="16"/>
  <c r="K10" i="16"/>
  <c r="G10" i="16"/>
  <c r="H10" i="16" s="1"/>
  <c r="F9" i="16"/>
  <c r="E9" i="16"/>
  <c r="D9" i="16"/>
  <c r="K8" i="16"/>
  <c r="G8" i="16"/>
  <c r="F120" i="15"/>
  <c r="E120" i="15"/>
  <c r="D120" i="15"/>
  <c r="E119" i="15"/>
  <c r="D119" i="15"/>
  <c r="F118" i="15"/>
  <c r="G118" i="15" s="1"/>
  <c r="H118" i="15" s="1"/>
  <c r="E118" i="15"/>
  <c r="D118" i="15"/>
  <c r="F117" i="15"/>
  <c r="G117" i="15" s="1"/>
  <c r="H117" i="15" s="1"/>
  <c r="E117" i="15"/>
  <c r="D117" i="15"/>
  <c r="F115" i="15"/>
  <c r="G115" i="15" s="1"/>
  <c r="H115" i="15" s="1"/>
  <c r="E115" i="15"/>
  <c r="D115" i="15"/>
  <c r="F114" i="15"/>
  <c r="G114" i="15" s="1"/>
  <c r="H114" i="15" s="1"/>
  <c r="E114" i="15"/>
  <c r="E116" i="15" s="1"/>
  <c r="D114" i="15"/>
  <c r="D116" i="15" s="1"/>
  <c r="F112" i="15"/>
  <c r="E112" i="15"/>
  <c r="D112" i="15"/>
  <c r="E111" i="15"/>
  <c r="E113" i="15" s="1"/>
  <c r="D111" i="15"/>
  <c r="F109" i="15"/>
  <c r="F110" i="15" s="1"/>
  <c r="E109" i="15"/>
  <c r="E110" i="15" s="1"/>
  <c r="D109" i="15"/>
  <c r="D110" i="15" s="1"/>
  <c r="F107" i="15"/>
  <c r="F108" i="15" s="1"/>
  <c r="E107" i="15"/>
  <c r="E108" i="15" s="1"/>
  <c r="D107" i="15"/>
  <c r="D108" i="15" s="1"/>
  <c r="F104" i="15"/>
  <c r="G104" i="15" s="1"/>
  <c r="E104" i="15"/>
  <c r="D104" i="15"/>
  <c r="F103" i="15"/>
  <c r="G103" i="15" s="1"/>
  <c r="E103" i="15"/>
  <c r="D103" i="15"/>
  <c r="F102" i="15"/>
  <c r="E102" i="15"/>
  <c r="D102" i="15"/>
  <c r="F101" i="15"/>
  <c r="E101" i="15"/>
  <c r="D101" i="15"/>
  <c r="G101" i="15" s="1"/>
  <c r="F100" i="15"/>
  <c r="E100" i="15"/>
  <c r="D100" i="15"/>
  <c r="G99" i="15"/>
  <c r="F99" i="15"/>
  <c r="E99" i="15"/>
  <c r="D99" i="15"/>
  <c r="F98" i="15"/>
  <c r="G98" i="15" s="1"/>
  <c r="H98" i="15" s="1"/>
  <c r="E98" i="15"/>
  <c r="D98" i="15"/>
  <c r="F96" i="15"/>
  <c r="E96" i="15"/>
  <c r="D96" i="15"/>
  <c r="F95" i="15"/>
  <c r="G95" i="15" s="1"/>
  <c r="H95" i="15" s="1"/>
  <c r="E95" i="15"/>
  <c r="D95" i="15"/>
  <c r="F94" i="15"/>
  <c r="G94" i="15" s="1"/>
  <c r="H94" i="15" s="1"/>
  <c r="E94" i="15"/>
  <c r="D94" i="15"/>
  <c r="G92" i="15"/>
  <c r="F92" i="15"/>
  <c r="E92" i="15"/>
  <c r="D92" i="15"/>
  <c r="F91" i="15"/>
  <c r="G91" i="15" s="1"/>
  <c r="E91" i="15"/>
  <c r="D91" i="15"/>
  <c r="F90" i="15"/>
  <c r="E90" i="15"/>
  <c r="D90" i="15"/>
  <c r="G90" i="15" s="1"/>
  <c r="F89" i="15"/>
  <c r="G89" i="15" s="1"/>
  <c r="E89" i="15"/>
  <c r="D89" i="15"/>
  <c r="F88" i="15"/>
  <c r="E88" i="15"/>
  <c r="D88" i="15"/>
  <c r="G88" i="15" s="1"/>
  <c r="F87" i="15"/>
  <c r="G87" i="15" s="1"/>
  <c r="E87" i="15"/>
  <c r="D87" i="15"/>
  <c r="F86" i="15"/>
  <c r="E86" i="15"/>
  <c r="D86" i="15"/>
  <c r="G86" i="15" s="1"/>
  <c r="F85" i="15"/>
  <c r="G85" i="15" s="1"/>
  <c r="E85" i="15"/>
  <c r="D85" i="15"/>
  <c r="F84" i="15"/>
  <c r="E84" i="15"/>
  <c r="D84" i="15"/>
  <c r="G84" i="15" s="1"/>
  <c r="F83" i="15"/>
  <c r="G83" i="15" s="1"/>
  <c r="E83" i="15"/>
  <c r="D83" i="15"/>
  <c r="F81" i="15"/>
  <c r="G81" i="15" s="1"/>
  <c r="H81" i="15" s="1"/>
  <c r="E81" i="15"/>
  <c r="D81" i="15"/>
  <c r="G80" i="15"/>
  <c r="H80" i="15" s="1"/>
  <c r="F80" i="15"/>
  <c r="E80" i="15"/>
  <c r="D80" i="15"/>
  <c r="D82" i="15" s="1"/>
  <c r="F79" i="15"/>
  <c r="G79" i="15" s="1"/>
  <c r="E79" i="15"/>
  <c r="D79" i="15"/>
  <c r="G78" i="15"/>
  <c r="H78" i="15" s="1"/>
  <c r="F78" i="15"/>
  <c r="E78" i="15"/>
  <c r="D78" i="15"/>
  <c r="D77" i="15"/>
  <c r="F76" i="15"/>
  <c r="E76" i="15"/>
  <c r="F75" i="15"/>
  <c r="E75" i="15"/>
  <c r="G74" i="15"/>
  <c r="H74" i="15" s="1"/>
  <c r="F74" i="15"/>
  <c r="E74" i="15"/>
  <c r="D74" i="15"/>
  <c r="F73" i="15"/>
  <c r="G73" i="15" s="1"/>
  <c r="H73" i="15" s="1"/>
  <c r="E73" i="15"/>
  <c r="D73" i="15"/>
  <c r="F70" i="15"/>
  <c r="G70" i="15" s="1"/>
  <c r="H70" i="15" s="1"/>
  <c r="E70" i="15"/>
  <c r="F69" i="15"/>
  <c r="E69" i="15"/>
  <c r="D69" i="15"/>
  <c r="G69" i="15" s="1"/>
  <c r="F68" i="15"/>
  <c r="G68" i="15" s="1"/>
  <c r="H68" i="15" s="1"/>
  <c r="E68" i="15"/>
  <c r="D68" i="15"/>
  <c r="F67" i="15"/>
  <c r="E67" i="15"/>
  <c r="D67" i="15"/>
  <c r="F65" i="15"/>
  <c r="G65" i="15" s="1"/>
  <c r="H65" i="15" s="1"/>
  <c r="E65" i="15"/>
  <c r="D65" i="15"/>
  <c r="G64" i="15"/>
  <c r="H64" i="15" s="1"/>
  <c r="F64" i="15"/>
  <c r="E64" i="15"/>
  <c r="D64" i="15"/>
  <c r="E63" i="15"/>
  <c r="F61" i="15"/>
  <c r="G61" i="15" s="1"/>
  <c r="H61" i="15" s="1"/>
  <c r="E61" i="15"/>
  <c r="D61" i="15"/>
  <c r="G58" i="15"/>
  <c r="F58" i="15"/>
  <c r="E58" i="15"/>
  <c r="D58" i="15"/>
  <c r="F57" i="15"/>
  <c r="E57" i="15"/>
  <c r="D57" i="15"/>
  <c r="G56" i="15"/>
  <c r="H56" i="15" s="1"/>
  <c r="F56" i="15"/>
  <c r="F55" i="15"/>
  <c r="E55" i="15"/>
  <c r="D55" i="15"/>
  <c r="E54" i="15"/>
  <c r="E59" i="15" s="1"/>
  <c r="D54" i="15"/>
  <c r="F53" i="15"/>
  <c r="E53" i="15"/>
  <c r="G47" i="15"/>
  <c r="H47" i="15" s="1"/>
  <c r="F47" i="15"/>
  <c r="E47" i="15"/>
  <c r="D47" i="15"/>
  <c r="F46" i="15"/>
  <c r="E46" i="15"/>
  <c r="D46" i="15"/>
  <c r="D48" i="15" s="1"/>
  <c r="F44" i="15"/>
  <c r="E44" i="15"/>
  <c r="D44" i="15"/>
  <c r="G44" i="15" s="1"/>
  <c r="H44" i="15" s="1"/>
  <c r="F43" i="15"/>
  <c r="G43" i="15" s="1"/>
  <c r="H43" i="15" s="1"/>
  <c r="E43" i="15"/>
  <c r="D43" i="15"/>
  <c r="E42" i="15"/>
  <c r="D42" i="15"/>
  <c r="H42" i="15" s="1"/>
  <c r="F41" i="15"/>
  <c r="E41" i="15"/>
  <c r="D41" i="15"/>
  <c r="D45" i="15" s="1"/>
  <c r="F39" i="15"/>
  <c r="E39" i="15"/>
  <c r="D39" i="15"/>
  <c r="F38" i="15"/>
  <c r="E37" i="15"/>
  <c r="D37" i="15"/>
  <c r="F36" i="15"/>
  <c r="E36" i="15"/>
  <c r="D36" i="15"/>
  <c r="F35" i="15"/>
  <c r="G35" i="15" s="1"/>
  <c r="E35" i="15"/>
  <c r="D35" i="15"/>
  <c r="F34" i="15"/>
  <c r="G34" i="15" s="1"/>
  <c r="E34" i="15"/>
  <c r="D34" i="15"/>
  <c r="F32" i="15"/>
  <c r="F33" i="15" s="1"/>
  <c r="G33" i="15" s="1"/>
  <c r="H33" i="15" s="1"/>
  <c r="E32" i="15"/>
  <c r="D32" i="15"/>
  <c r="F31" i="15"/>
  <c r="E31" i="15"/>
  <c r="E33" i="15" s="1"/>
  <c r="D31" i="15"/>
  <c r="D33" i="15" s="1"/>
  <c r="F29" i="15"/>
  <c r="F30" i="15" s="1"/>
  <c r="E29" i="15"/>
  <c r="E30" i="15" s="1"/>
  <c r="D29" i="15"/>
  <c r="H28" i="15"/>
  <c r="G28" i="15"/>
  <c r="F28" i="15"/>
  <c r="E28" i="15"/>
  <c r="D28" i="15"/>
  <c r="F27" i="15"/>
  <c r="G27" i="15" s="1"/>
  <c r="H27" i="15" s="1"/>
  <c r="E27" i="15"/>
  <c r="D27" i="15"/>
  <c r="F26" i="15"/>
  <c r="E26" i="15"/>
  <c r="D26" i="15"/>
  <c r="G26" i="15" s="1"/>
  <c r="F25" i="15"/>
  <c r="G25" i="15" s="1"/>
  <c r="H25" i="15" s="1"/>
  <c r="E25" i="15"/>
  <c r="D25" i="15"/>
  <c r="F24" i="15"/>
  <c r="E24" i="15"/>
  <c r="D24" i="15"/>
  <c r="F23" i="15"/>
  <c r="G23" i="15" s="1"/>
  <c r="E23" i="15"/>
  <c r="D23" i="15"/>
  <c r="F21" i="15"/>
  <c r="G21" i="15" s="1"/>
  <c r="E21" i="15"/>
  <c r="D21" i="15"/>
  <c r="G20" i="15"/>
  <c r="F20" i="15"/>
  <c r="E20" i="15"/>
  <c r="D20" i="15"/>
  <c r="F19" i="15"/>
  <c r="G19" i="15" s="1"/>
  <c r="E19" i="15"/>
  <c r="D19" i="15"/>
  <c r="F18" i="15"/>
  <c r="G18" i="15" s="1"/>
  <c r="H18" i="15" s="1"/>
  <c r="E18" i="15"/>
  <c r="D18" i="15"/>
  <c r="F17" i="15"/>
  <c r="E17" i="15"/>
  <c r="D17" i="15"/>
  <c r="G17" i="15" s="1"/>
  <c r="F16" i="15"/>
  <c r="G16" i="15" s="1"/>
  <c r="E16" i="15"/>
  <c r="D16" i="15"/>
  <c r="F15" i="15"/>
  <c r="E15" i="15"/>
  <c r="D15" i="15"/>
  <c r="G15" i="15" s="1"/>
  <c r="F14" i="15"/>
  <c r="F22" i="15" s="1"/>
  <c r="E14" i="15"/>
  <c r="E22" i="15" s="1"/>
  <c r="D14" i="15"/>
  <c r="F12" i="15"/>
  <c r="G12" i="15" s="1"/>
  <c r="H12" i="15" s="1"/>
  <c r="E12" i="15"/>
  <c r="D12" i="15"/>
  <c r="F11" i="15"/>
  <c r="G11" i="15" s="1"/>
  <c r="H11" i="15" s="1"/>
  <c r="E11" i="15"/>
  <c r="D11" i="15"/>
  <c r="F10" i="15"/>
  <c r="E10" i="15"/>
  <c r="D10" i="15"/>
  <c r="G8" i="15"/>
  <c r="F40" i="15" l="1"/>
  <c r="G39" i="15"/>
  <c r="H39" i="15" s="1"/>
  <c r="E121" i="17"/>
  <c r="E123" i="17" s="1"/>
  <c r="K105" i="17"/>
  <c r="G105" i="17"/>
  <c r="H105" i="17" s="1"/>
  <c r="D72" i="16"/>
  <c r="K93" i="16"/>
  <c r="F105" i="16"/>
  <c r="F93" i="15"/>
  <c r="G10" i="15"/>
  <c r="H10" i="15" s="1"/>
  <c r="F37" i="15"/>
  <c r="G37" i="15" s="1"/>
  <c r="H37" i="15" s="1"/>
  <c r="G108" i="15"/>
  <c r="F119" i="15"/>
  <c r="G119" i="15" s="1"/>
  <c r="H119" i="15" s="1"/>
  <c r="K33" i="16"/>
  <c r="G33" i="16"/>
  <c r="H33" i="16" s="1"/>
  <c r="G93" i="16"/>
  <c r="H93" i="16" s="1"/>
  <c r="G119" i="16"/>
  <c r="H119" i="16" s="1"/>
  <c r="E63" i="16"/>
  <c r="E72" i="16" s="1"/>
  <c r="G32" i="15"/>
  <c r="H32" i="15" s="1"/>
  <c r="G41" i="15"/>
  <c r="G55" i="15"/>
  <c r="H55" i="15" s="1"/>
  <c r="G112" i="15"/>
  <c r="G27" i="16"/>
  <c r="K42" i="16"/>
  <c r="F45" i="16"/>
  <c r="F42" i="15"/>
  <c r="F45" i="15" s="1"/>
  <c r="G45" i="15" s="1"/>
  <c r="H45" i="15" s="1"/>
  <c r="E82" i="17"/>
  <c r="E106" i="17" s="1"/>
  <c r="E77" i="15"/>
  <c r="E82" i="15" s="1"/>
  <c r="E106" i="15" s="1"/>
  <c r="G110" i="15"/>
  <c r="H110" i="15" s="1"/>
  <c r="K27" i="16"/>
  <c r="D53" i="15"/>
  <c r="D59" i="15" s="1"/>
  <c r="D72" i="15" s="1"/>
  <c r="G53" i="16"/>
  <c r="H53" i="16" s="1"/>
  <c r="K68" i="16"/>
  <c r="G68" i="16"/>
  <c r="H68" i="16" s="1"/>
  <c r="E38" i="15"/>
  <c r="E40" i="15" s="1"/>
  <c r="K38" i="17"/>
  <c r="E40" i="17"/>
  <c r="D22" i="15"/>
  <c r="G22" i="15" s="1"/>
  <c r="H22" i="15" s="1"/>
  <c r="K40" i="16"/>
  <c r="D40" i="16"/>
  <c r="G40" i="16" s="1"/>
  <c r="H40" i="16" s="1"/>
  <c r="G38" i="16"/>
  <c r="H38" i="16" s="1"/>
  <c r="D38" i="15"/>
  <c r="K66" i="16"/>
  <c r="G66" i="16"/>
  <c r="H66" i="16" s="1"/>
  <c r="F71" i="16"/>
  <c r="E105" i="16"/>
  <c r="E106" i="16" s="1"/>
  <c r="D121" i="17"/>
  <c r="D123" i="17" s="1"/>
  <c r="K82" i="17"/>
  <c r="F106" i="17"/>
  <c r="F66" i="15"/>
  <c r="K62" i="16"/>
  <c r="G62" i="16"/>
  <c r="H62" i="16" s="1"/>
  <c r="F63" i="16"/>
  <c r="D106" i="16"/>
  <c r="K110" i="16"/>
  <c r="G110" i="16"/>
  <c r="H110" i="16" s="1"/>
  <c r="E45" i="15"/>
  <c r="D63" i="16"/>
  <c r="D60" i="15"/>
  <c r="D63" i="15" s="1"/>
  <c r="G96" i="15"/>
  <c r="H96" i="15" s="1"/>
  <c r="D105" i="15"/>
  <c r="D106" i="15" s="1"/>
  <c r="D9" i="15"/>
  <c r="D13" i="15" s="1"/>
  <c r="D13" i="16"/>
  <c r="G108" i="16"/>
  <c r="G102" i="15"/>
  <c r="G120" i="15"/>
  <c r="H120" i="15" s="1"/>
  <c r="E13" i="16"/>
  <c r="E49" i="16" s="1"/>
  <c r="E9" i="15"/>
  <c r="E13" i="15" s="1"/>
  <c r="E49" i="15" s="1"/>
  <c r="G75" i="16"/>
  <c r="H75" i="16" s="1"/>
  <c r="D75" i="15"/>
  <c r="G75" i="15" s="1"/>
  <c r="H75" i="15" s="1"/>
  <c r="F77" i="15"/>
  <c r="K77" i="17"/>
  <c r="G77" i="17"/>
  <c r="H77" i="17" s="1"/>
  <c r="F62" i="15"/>
  <c r="G62" i="15" s="1"/>
  <c r="H62" i="15" s="1"/>
  <c r="G109" i="15"/>
  <c r="H109" i="15" s="1"/>
  <c r="F13" i="16"/>
  <c r="F9" i="15"/>
  <c r="K9" i="16"/>
  <c r="G9" i="16"/>
  <c r="H9" i="16" s="1"/>
  <c r="G49" i="17"/>
  <c r="H49" i="17" s="1"/>
  <c r="G100" i="15"/>
  <c r="H100" i="15" s="1"/>
  <c r="D113" i="15"/>
  <c r="E66" i="15"/>
  <c r="E71" i="16"/>
  <c r="F106" i="16"/>
  <c r="D105" i="16"/>
  <c r="G13" i="17"/>
  <c r="H13" i="17" s="1"/>
  <c r="G57" i="15"/>
  <c r="H57" i="15" s="1"/>
  <c r="K30" i="16"/>
  <c r="K60" i="16"/>
  <c r="F113" i="15"/>
  <c r="G113" i="15" s="1"/>
  <c r="H113" i="15" s="1"/>
  <c r="G111" i="15"/>
  <c r="H111" i="15" s="1"/>
  <c r="K113" i="17"/>
  <c r="D30" i="15"/>
  <c r="G30" i="15" s="1"/>
  <c r="H30" i="15" s="1"/>
  <c r="G29" i="15"/>
  <c r="H29" i="15" s="1"/>
  <c r="E48" i="15"/>
  <c r="G67" i="15"/>
  <c r="G107" i="15"/>
  <c r="G30" i="16"/>
  <c r="H30" i="16" s="1"/>
  <c r="K57" i="16"/>
  <c r="G60" i="16"/>
  <c r="H60" i="16" s="1"/>
  <c r="K70" i="16"/>
  <c r="G70" i="16"/>
  <c r="H70" i="16" s="1"/>
  <c r="D76" i="16"/>
  <c r="G73" i="16"/>
  <c r="H73" i="16" s="1"/>
  <c r="G111" i="16"/>
  <c r="H111" i="16" s="1"/>
  <c r="E49" i="17"/>
  <c r="K49" i="17" s="1"/>
  <c r="K33" i="17"/>
  <c r="G33" i="17"/>
  <c r="H33" i="17" s="1"/>
  <c r="G113" i="17"/>
  <c r="H113" i="17" s="1"/>
  <c r="F113" i="16"/>
  <c r="K45" i="17"/>
  <c r="G45" i="17"/>
  <c r="H45" i="17" s="1"/>
  <c r="F48" i="15"/>
  <c r="G48" i="15" s="1"/>
  <c r="H48" i="15" s="1"/>
  <c r="G46" i="15"/>
  <c r="H46" i="15" s="1"/>
  <c r="F60" i="15"/>
  <c r="D71" i="15"/>
  <c r="K76" i="16"/>
  <c r="F97" i="15"/>
  <c r="G97" i="15" s="1"/>
  <c r="H97" i="15" s="1"/>
  <c r="K97" i="16"/>
  <c r="D106" i="17"/>
  <c r="G116" i="17"/>
  <c r="H116" i="17" s="1"/>
  <c r="G63" i="17"/>
  <c r="H63" i="17" s="1"/>
  <c r="G31" i="15"/>
  <c r="H31" i="15" s="1"/>
  <c r="F116" i="15"/>
  <c r="G116" i="15" s="1"/>
  <c r="H116" i="15" s="1"/>
  <c r="G22" i="16"/>
  <c r="H22" i="16" s="1"/>
  <c r="G14" i="15"/>
  <c r="G24" i="15"/>
  <c r="G36" i="15"/>
  <c r="H36" i="15" s="1"/>
  <c r="E71" i="15"/>
  <c r="E72" i="15" s="1"/>
  <c r="E121" i="15" s="1"/>
  <c r="E123" i="15" s="1"/>
  <c r="G32" i="16"/>
  <c r="H32" i="16" s="1"/>
  <c r="K37" i="16"/>
  <c r="D71" i="16"/>
  <c r="G65" i="16"/>
  <c r="H65" i="16" s="1"/>
  <c r="G76" i="16"/>
  <c r="H76" i="16" s="1"/>
  <c r="G97" i="16"/>
  <c r="H97" i="16" s="1"/>
  <c r="K111" i="16"/>
  <c r="K40" i="17"/>
  <c r="K76" i="17"/>
  <c r="G76" i="17"/>
  <c r="H76" i="17" s="1"/>
  <c r="K119" i="17"/>
  <c r="F59" i="16"/>
  <c r="F72" i="17"/>
  <c r="G27" i="17"/>
  <c r="H27" i="17" s="1"/>
  <c r="F54" i="15"/>
  <c r="G54" i="15" s="1"/>
  <c r="H54" i="15" s="1"/>
  <c r="E121" i="16" l="1"/>
  <c r="E123" i="16" s="1"/>
  <c r="G60" i="15"/>
  <c r="H60" i="15" s="1"/>
  <c r="F63" i="15"/>
  <c r="G63" i="15" s="1"/>
  <c r="H63" i="15" s="1"/>
  <c r="D49" i="16"/>
  <c r="D49" i="15"/>
  <c r="D121" i="15"/>
  <c r="D123" i="15" s="1"/>
  <c r="G93" i="15"/>
  <c r="H93" i="15" s="1"/>
  <c r="F105" i="15"/>
  <c r="G105" i="15" s="1"/>
  <c r="H105" i="15" s="1"/>
  <c r="F49" i="16"/>
  <c r="G13" i="16"/>
  <c r="H13" i="16" s="1"/>
  <c r="K13" i="16"/>
  <c r="K63" i="16"/>
  <c r="G63" i="16"/>
  <c r="H63" i="16" s="1"/>
  <c r="K105" i="16"/>
  <c r="G105" i="16"/>
  <c r="H105" i="16" s="1"/>
  <c r="D121" i="16"/>
  <c r="D123" i="16" s="1"/>
  <c r="D40" i="15"/>
  <c r="G38" i="15"/>
  <c r="H38" i="15" s="1"/>
  <c r="K106" i="16"/>
  <c r="G106" i="16"/>
  <c r="H106" i="16" s="1"/>
  <c r="G45" i="16"/>
  <c r="H45" i="16" s="1"/>
  <c r="K45" i="16"/>
  <c r="G77" i="15"/>
  <c r="H77" i="15" s="1"/>
  <c r="F82" i="15"/>
  <c r="F13" i="15"/>
  <c r="G9" i="15"/>
  <c r="H9" i="15" s="1"/>
  <c r="D76" i="15"/>
  <c r="G76" i="15" s="1"/>
  <c r="H76" i="15" s="1"/>
  <c r="G40" i="15"/>
  <c r="H40" i="15" s="1"/>
  <c r="K71" i="16"/>
  <c r="G71" i="16"/>
  <c r="H71" i="16" s="1"/>
  <c r="K72" i="17"/>
  <c r="G72" i="17"/>
  <c r="F121" i="17"/>
  <c r="F123" i="17" s="1"/>
  <c r="K113" i="16"/>
  <c r="G113" i="16"/>
  <c r="H113" i="16" s="1"/>
  <c r="F72" i="16"/>
  <c r="K59" i="16"/>
  <c r="G59" i="16"/>
  <c r="H59" i="16" s="1"/>
  <c r="F59" i="15"/>
  <c r="G53" i="15"/>
  <c r="H53" i="15" s="1"/>
  <c r="F71" i="15"/>
  <c r="G71" i="15" s="1"/>
  <c r="H71" i="15" s="1"/>
  <c r="G66" i="15"/>
  <c r="H66" i="15" s="1"/>
  <c r="K106" i="17"/>
  <c r="G106" i="17"/>
  <c r="H106" i="17" s="1"/>
  <c r="H72" i="17" l="1"/>
  <c r="G121" i="17"/>
  <c r="F106" i="15"/>
  <c r="G106" i="15" s="1"/>
  <c r="H106" i="15" s="1"/>
  <c r="G82" i="15"/>
  <c r="H82" i="15" s="1"/>
  <c r="G59" i="15"/>
  <c r="H59" i="15" s="1"/>
  <c r="F72" i="15"/>
  <c r="K72" i="16"/>
  <c r="F121" i="16"/>
  <c r="G72" i="16"/>
  <c r="H72" i="16" s="1"/>
  <c r="G13" i="15"/>
  <c r="H13" i="15" s="1"/>
  <c r="F49" i="15"/>
  <c r="G49" i="15" s="1"/>
  <c r="H49" i="15" s="1"/>
  <c r="G49" i="16"/>
  <c r="H49" i="16" s="1"/>
  <c r="K49" i="16"/>
  <c r="F123" i="16" l="1"/>
  <c r="G121" i="16"/>
  <c r="F121" i="15"/>
  <c r="G72" i="15"/>
  <c r="H72" i="15" s="1"/>
  <c r="G123" i="17"/>
  <c r="H121" i="17"/>
  <c r="F123" i="15" l="1"/>
  <c r="G121" i="15"/>
  <c r="H121" i="16"/>
  <c r="G123" i="16"/>
  <c r="G123" i="15" l="1"/>
  <c r="H121" i="15"/>
  <c r="E8" i="2" l="1"/>
  <c r="F51" i="14"/>
  <c r="G51" i="14" s="1"/>
  <c r="H51" i="14" s="1"/>
  <c r="D51" i="14"/>
  <c r="G50" i="14"/>
  <c r="H50" i="14" s="1"/>
  <c r="G49" i="14"/>
  <c r="G48" i="14"/>
  <c r="F47" i="14"/>
  <c r="G47" i="14" s="1"/>
  <c r="H47" i="14" s="1"/>
  <c r="E47" i="14"/>
  <c r="D47" i="14"/>
  <c r="G46" i="14"/>
  <c r="H46" i="14" s="1"/>
  <c r="F45" i="14"/>
  <c r="E45" i="14"/>
  <c r="D45" i="14"/>
  <c r="G44" i="14"/>
  <c r="H44" i="14" s="1"/>
  <c r="G43" i="14"/>
  <c r="F42" i="14"/>
  <c r="G42" i="14" s="1"/>
  <c r="H42" i="14" s="1"/>
  <c r="E42" i="14"/>
  <c r="E52" i="14" s="1"/>
  <c r="F41" i="14"/>
  <c r="G41" i="14" s="1"/>
  <c r="H41" i="14" s="1"/>
  <c r="E41" i="14"/>
  <c r="D41" i="14"/>
  <c r="G38" i="14"/>
  <c r="H38" i="14" s="1"/>
  <c r="G36" i="14"/>
  <c r="H36" i="14" s="1"/>
  <c r="F35" i="14"/>
  <c r="G35" i="14" s="1"/>
  <c r="H35" i="14" s="1"/>
  <c r="E35" i="14"/>
  <c r="D35" i="14"/>
  <c r="H33" i="14"/>
  <c r="G33" i="14"/>
  <c r="F32" i="14"/>
  <c r="G32" i="14" s="1"/>
  <c r="H32" i="14" s="1"/>
  <c r="E32" i="14"/>
  <c r="D32" i="14"/>
  <c r="D42" i="14" s="1"/>
  <c r="D52" i="14" s="1"/>
  <c r="G31" i="14"/>
  <c r="H31" i="14" s="1"/>
  <c r="G30" i="14"/>
  <c r="H30" i="14" s="1"/>
  <c r="G29" i="14"/>
  <c r="H29" i="14" s="1"/>
  <c r="G28" i="14"/>
  <c r="H28" i="14" s="1"/>
  <c r="F23" i="14"/>
  <c r="E23" i="14"/>
  <c r="D23" i="14"/>
  <c r="H23" i="14" s="1"/>
  <c r="H22" i="14"/>
  <c r="G21" i="14"/>
  <c r="G20" i="14"/>
  <c r="H20" i="14" s="1"/>
  <c r="F19" i="14"/>
  <c r="G19" i="14" s="1"/>
  <c r="H19" i="14" s="1"/>
  <c r="E19" i="14"/>
  <c r="D19" i="14"/>
  <c r="H18" i="14"/>
  <c r="H17" i="14"/>
  <c r="F16" i="14"/>
  <c r="G16" i="14" s="1"/>
  <c r="D16" i="14"/>
  <c r="G15" i="14"/>
  <c r="G14" i="14"/>
  <c r="H14" i="14" s="1"/>
  <c r="F14" i="14"/>
  <c r="E14" i="14"/>
  <c r="E24" i="14" s="1"/>
  <c r="D14" i="14"/>
  <c r="G13" i="14"/>
  <c r="H13" i="14" s="1"/>
  <c r="G12" i="14"/>
  <c r="G11" i="14"/>
  <c r="G10" i="14"/>
  <c r="F9" i="14"/>
  <c r="F24" i="14" s="1"/>
  <c r="D9" i="14"/>
  <c r="D24" i="14" s="1"/>
  <c r="G8" i="14"/>
  <c r="H8" i="14" s="1"/>
  <c r="G45" i="14" l="1"/>
  <c r="H45" i="14" s="1"/>
  <c r="G24" i="14"/>
  <c r="H24" i="14" s="1"/>
  <c r="F52" i="14"/>
  <c r="G52" i="14" s="1"/>
  <c r="H52" i="14" s="1"/>
  <c r="G9" i="14"/>
  <c r="H9" i="14" s="1"/>
  <c r="H16" i="2" l="1"/>
  <c r="I16" i="2" s="1"/>
  <c r="E17" i="2"/>
  <c r="H17" i="2" s="1"/>
  <c r="I17" i="2" s="1"/>
  <c r="G16" i="4"/>
  <c r="E56" i="3"/>
  <c r="D56" i="3"/>
  <c r="F47" i="3"/>
  <c r="E47" i="3"/>
  <c r="D47" i="3"/>
  <c r="G46" i="3"/>
  <c r="H46" i="3" s="1"/>
  <c r="F31" i="3"/>
  <c r="E10" i="3"/>
  <c r="F10" i="3"/>
  <c r="D10" i="3"/>
  <c r="F23" i="3"/>
  <c r="G47" i="3" l="1"/>
  <c r="H47" i="3"/>
  <c r="G19" i="3"/>
  <c r="F19" i="3"/>
  <c r="E19" i="3"/>
  <c r="D19" i="3"/>
  <c r="F17" i="3"/>
  <c r="E17" i="3"/>
  <c r="D17" i="3"/>
  <c r="G16" i="3"/>
  <c r="G17" i="3" s="1"/>
  <c r="G11" i="3"/>
  <c r="H11" i="3" s="1"/>
  <c r="G9" i="3"/>
  <c r="G49" i="2"/>
  <c r="G81" i="8"/>
  <c r="H81" i="8" s="1"/>
  <c r="F81" i="8"/>
  <c r="D81" i="8"/>
  <c r="G80" i="8"/>
  <c r="H80" i="8" s="1"/>
  <c r="H79" i="8"/>
  <c r="G79" i="8"/>
  <c r="G78" i="8"/>
  <c r="H78" i="8" s="1"/>
  <c r="H77" i="8"/>
  <c r="G77" i="8"/>
  <c r="G76" i="8"/>
  <c r="H76" i="8" s="1"/>
  <c r="H75" i="8"/>
  <c r="G75" i="8"/>
  <c r="G74" i="8"/>
  <c r="H74" i="8" s="1"/>
  <c r="H73" i="8"/>
  <c r="G73" i="8"/>
  <c r="G72" i="8"/>
  <c r="H72" i="8" s="1"/>
  <c r="H71" i="8"/>
  <c r="G71" i="8"/>
  <c r="G70" i="8"/>
  <c r="H70" i="8" s="1"/>
  <c r="H69" i="8"/>
  <c r="G69" i="8"/>
  <c r="G68" i="8"/>
  <c r="H68" i="8" s="1"/>
  <c r="H67" i="8"/>
  <c r="G67" i="8"/>
  <c r="G66" i="8"/>
  <c r="H66" i="8" s="1"/>
  <c r="H65" i="8"/>
  <c r="G65" i="8"/>
  <c r="G64" i="8"/>
  <c r="H64" i="8" s="1"/>
  <c r="H63" i="8"/>
  <c r="G63" i="8"/>
  <c r="G62" i="8"/>
  <c r="H62" i="8" s="1"/>
  <c r="H61" i="8"/>
  <c r="G61" i="8"/>
  <c r="G60" i="8"/>
  <c r="H60" i="8" s="1"/>
  <c r="H59" i="8"/>
  <c r="G59" i="8"/>
  <c r="G58" i="8"/>
  <c r="H58" i="8" s="1"/>
  <c r="H57" i="8"/>
  <c r="G57" i="8"/>
  <c r="G56" i="8"/>
  <c r="H56" i="8" s="1"/>
  <c r="H55" i="8"/>
  <c r="G55" i="8"/>
  <c r="G54" i="8"/>
  <c r="H54" i="8" s="1"/>
  <c r="H53" i="8"/>
  <c r="G53" i="8"/>
  <c r="G52" i="8"/>
  <c r="H52" i="8" s="1"/>
  <c r="H51" i="8"/>
  <c r="G51" i="8"/>
  <c r="G50" i="8"/>
  <c r="H50" i="8" s="1"/>
  <c r="H49" i="8"/>
  <c r="G49" i="8"/>
  <c r="G48" i="8"/>
  <c r="H48" i="8" s="1"/>
  <c r="H47" i="8"/>
  <c r="G47" i="8"/>
  <c r="G46" i="8"/>
  <c r="H46" i="8" s="1"/>
  <c r="H45" i="8"/>
  <c r="G45" i="8"/>
  <c r="G44" i="8"/>
  <c r="H44" i="8" s="1"/>
  <c r="H43" i="8"/>
  <c r="G43" i="8"/>
  <c r="G42" i="8"/>
  <c r="H42" i="8" s="1"/>
  <c r="H41" i="8"/>
  <c r="G41" i="8"/>
  <c r="G40" i="8"/>
  <c r="H40" i="8" s="1"/>
  <c r="H39" i="8"/>
  <c r="G39" i="8"/>
  <c r="G38" i="8"/>
  <c r="H38" i="8" s="1"/>
  <c r="H37" i="8"/>
  <c r="G37" i="8"/>
  <c r="F33" i="8"/>
  <c r="G33" i="8" s="1"/>
  <c r="H33" i="8" s="1"/>
  <c r="D33" i="8"/>
  <c r="G32" i="8"/>
  <c r="H32" i="8" s="1"/>
  <c r="H31" i="8"/>
  <c r="G31" i="8"/>
  <c r="G30" i="8"/>
  <c r="H30" i="8" s="1"/>
  <c r="H29" i="8"/>
  <c r="G29" i="8"/>
  <c r="G28" i="8"/>
  <c r="H28" i="8" s="1"/>
  <c r="H27" i="8"/>
  <c r="G27" i="8"/>
  <c r="G26" i="8"/>
  <c r="H26" i="8" s="1"/>
  <c r="H25" i="8"/>
  <c r="G25" i="8"/>
  <c r="G24" i="8"/>
  <c r="H24" i="8" s="1"/>
  <c r="H23" i="8"/>
  <c r="G23" i="8"/>
  <c r="G22" i="8"/>
  <c r="H22" i="8" s="1"/>
  <c r="H21" i="8"/>
  <c r="G21" i="8"/>
  <c r="G20" i="8"/>
  <c r="H20" i="8" s="1"/>
  <c r="H19" i="8"/>
  <c r="G19" i="8"/>
  <c r="G18" i="8"/>
  <c r="H18" i="8" s="1"/>
  <c r="H17" i="8"/>
  <c r="G17" i="8"/>
  <c r="G16" i="8"/>
  <c r="H16" i="8" s="1"/>
  <c r="H15" i="8"/>
  <c r="G15" i="8"/>
  <c r="G14" i="8"/>
  <c r="H14" i="8" s="1"/>
  <c r="H13" i="8"/>
  <c r="G13" i="8"/>
  <c r="G12" i="8"/>
  <c r="H12" i="8" s="1"/>
  <c r="H11" i="8"/>
  <c r="G11" i="8"/>
  <c r="G10" i="8"/>
  <c r="H10" i="8" s="1"/>
  <c r="H9" i="8"/>
  <c r="G9" i="8"/>
  <c r="G8" i="8"/>
  <c r="H8" i="8" s="1"/>
  <c r="H118" i="7"/>
  <c r="G118" i="7"/>
  <c r="F117" i="7"/>
  <c r="G117" i="7" s="1"/>
  <c r="D117" i="7"/>
  <c r="G116" i="7"/>
  <c r="E116" i="7"/>
  <c r="G115" i="7"/>
  <c r="E115" i="7"/>
  <c r="F114" i="7"/>
  <c r="G114" i="7" s="1"/>
  <c r="E114" i="7"/>
  <c r="D114" i="7"/>
  <c r="G113" i="7"/>
  <c r="G112" i="7"/>
  <c r="F111" i="7"/>
  <c r="E111" i="7"/>
  <c r="G111" i="7" s="1"/>
  <c r="H111" i="7" s="1"/>
  <c r="D111" i="7"/>
  <c r="H109" i="7"/>
  <c r="G109" i="7"/>
  <c r="F108" i="7"/>
  <c r="E108" i="7"/>
  <c r="D108" i="7"/>
  <c r="G107" i="7"/>
  <c r="H107" i="7" s="1"/>
  <c r="F105" i="7"/>
  <c r="E105" i="7"/>
  <c r="D105" i="7"/>
  <c r="D106" i="7" s="1"/>
  <c r="H92" i="7"/>
  <c r="H91" i="7"/>
  <c r="G82" i="7"/>
  <c r="H82" i="7" s="1"/>
  <c r="F82" i="7"/>
  <c r="F106" i="7" s="1"/>
  <c r="G106" i="7" s="1"/>
  <c r="H106" i="7" s="1"/>
  <c r="E82" i="7"/>
  <c r="E106" i="7" s="1"/>
  <c r="D82" i="7"/>
  <c r="H80" i="7"/>
  <c r="G80" i="7"/>
  <c r="G78" i="7"/>
  <c r="H78" i="7" s="1"/>
  <c r="H77" i="7"/>
  <c r="G77" i="7"/>
  <c r="F76" i="7"/>
  <c r="G76" i="7" s="1"/>
  <c r="H76" i="7" s="1"/>
  <c r="E76" i="7"/>
  <c r="D76" i="7"/>
  <c r="G73" i="7"/>
  <c r="H73" i="7" s="1"/>
  <c r="F72" i="7"/>
  <c r="E72" i="7"/>
  <c r="G71" i="7"/>
  <c r="H71" i="7" s="1"/>
  <c r="H70" i="7"/>
  <c r="G70" i="7"/>
  <c r="G69" i="7"/>
  <c r="G68" i="7"/>
  <c r="H68" i="7" s="1"/>
  <c r="G67" i="7"/>
  <c r="H67" i="7" s="1"/>
  <c r="H66" i="7"/>
  <c r="G66" i="7"/>
  <c r="G65" i="7"/>
  <c r="H65" i="7" s="1"/>
  <c r="F59" i="7"/>
  <c r="E59" i="7"/>
  <c r="D59" i="7"/>
  <c r="H58" i="7"/>
  <c r="G58" i="7"/>
  <c r="G57" i="7"/>
  <c r="H57" i="7" s="1"/>
  <c r="H56" i="7"/>
  <c r="G56" i="7"/>
  <c r="G53" i="7"/>
  <c r="H53" i="7" s="1"/>
  <c r="E49" i="7"/>
  <c r="F45" i="7"/>
  <c r="G45" i="7" s="1"/>
  <c r="H45" i="7" s="1"/>
  <c r="E45" i="7"/>
  <c r="D45" i="7"/>
  <c r="G44" i="7"/>
  <c r="H44" i="7" s="1"/>
  <c r="F40" i="7"/>
  <c r="E40" i="7"/>
  <c r="D40" i="7"/>
  <c r="D49" i="7" s="1"/>
  <c r="G39" i="7"/>
  <c r="H39" i="7" s="1"/>
  <c r="G38" i="7"/>
  <c r="H38" i="7" s="1"/>
  <c r="F30" i="7"/>
  <c r="G30" i="7" s="1"/>
  <c r="H30" i="7" s="1"/>
  <c r="E30" i="7"/>
  <c r="D30" i="7"/>
  <c r="G29" i="7"/>
  <c r="H29" i="7" s="1"/>
  <c r="H28" i="7"/>
  <c r="G28" i="7"/>
  <c r="F27" i="7"/>
  <c r="F49" i="7" s="1"/>
  <c r="E27" i="7"/>
  <c r="D27" i="7"/>
  <c r="G26" i="7"/>
  <c r="H26" i="7" s="1"/>
  <c r="G25" i="7"/>
  <c r="H25" i="7" s="1"/>
  <c r="H13" i="7"/>
  <c r="E13" i="7"/>
  <c r="D13" i="7"/>
  <c r="G8" i="7"/>
  <c r="H8" i="7" s="1"/>
  <c r="E51" i="4"/>
  <c r="F47" i="4"/>
  <c r="G47" i="4" s="1"/>
  <c r="H47" i="4" s="1"/>
  <c r="D47" i="4"/>
  <c r="H46" i="4"/>
  <c r="G46" i="4"/>
  <c r="F45" i="4"/>
  <c r="D45" i="4"/>
  <c r="G45" i="4" s="1"/>
  <c r="H45" i="4" s="1"/>
  <c r="H43" i="4"/>
  <c r="G43" i="4"/>
  <c r="F42" i="4"/>
  <c r="F52" i="4" s="1"/>
  <c r="E42" i="4"/>
  <c r="E52" i="4" s="1"/>
  <c r="F41" i="4"/>
  <c r="E41" i="4"/>
  <c r="D41" i="4"/>
  <c r="G40" i="4"/>
  <c r="H39" i="4"/>
  <c r="G39" i="4"/>
  <c r="G38" i="4"/>
  <c r="H38" i="4" s="1"/>
  <c r="F35" i="4"/>
  <c r="D35" i="4"/>
  <c r="H34" i="4"/>
  <c r="G34" i="4"/>
  <c r="G23" i="4"/>
  <c r="H23" i="4" s="1"/>
  <c r="F23" i="4"/>
  <c r="F24" i="4" s="1"/>
  <c r="E23" i="4"/>
  <c r="D23" i="4"/>
  <c r="G22" i="4"/>
  <c r="H22" i="4" s="1"/>
  <c r="G21" i="4"/>
  <c r="G20" i="4"/>
  <c r="H19" i="4"/>
  <c r="G19" i="4"/>
  <c r="F19" i="4"/>
  <c r="E19" i="4"/>
  <c r="E24" i="4" s="1"/>
  <c r="D19" i="4"/>
  <c r="H18" i="4"/>
  <c r="G18" i="4"/>
  <c r="H17" i="4"/>
  <c r="G17" i="4"/>
  <c r="D16" i="4"/>
  <c r="H16" i="4" s="1"/>
  <c r="G15" i="4"/>
  <c r="H15" i="4" s="1"/>
  <c r="F9" i="4"/>
  <c r="G8" i="4"/>
  <c r="G9" i="4" s="1"/>
  <c r="E55" i="3"/>
  <c r="D55" i="3"/>
  <c r="F53" i="3"/>
  <c r="E53" i="3"/>
  <c r="D53" i="3"/>
  <c r="G52" i="3"/>
  <c r="H52" i="3" s="1"/>
  <c r="F51" i="3"/>
  <c r="E51" i="3"/>
  <c r="D51" i="3"/>
  <c r="G50" i="3"/>
  <c r="H50" i="3" s="1"/>
  <c r="F49" i="3"/>
  <c r="E49" i="3"/>
  <c r="D49" i="3"/>
  <c r="G48" i="3"/>
  <c r="F44" i="3"/>
  <c r="E44" i="3"/>
  <c r="D44" i="3"/>
  <c r="G43" i="3"/>
  <c r="H43" i="3" s="1"/>
  <c r="G42" i="3"/>
  <c r="H42" i="3" s="1"/>
  <c r="G41" i="3"/>
  <c r="H41" i="3" s="1"/>
  <c r="G40" i="3"/>
  <c r="G39" i="3"/>
  <c r="H39" i="3" s="1"/>
  <c r="F38" i="3"/>
  <c r="E38" i="3"/>
  <c r="D38" i="3"/>
  <c r="G37" i="3"/>
  <c r="H37" i="3" s="1"/>
  <c r="G36" i="3"/>
  <c r="H36" i="3" s="1"/>
  <c r="F35" i="3"/>
  <c r="F45" i="3" s="1"/>
  <c r="E35" i="3"/>
  <c r="D35" i="3"/>
  <c r="D45" i="3" s="1"/>
  <c r="G34" i="3"/>
  <c r="H34" i="3" s="1"/>
  <c r="G33" i="3"/>
  <c r="H33" i="3" s="1"/>
  <c r="G32" i="3"/>
  <c r="H32" i="3" s="1"/>
  <c r="G31" i="3"/>
  <c r="H31" i="3" s="1"/>
  <c r="F26" i="3"/>
  <c r="E26" i="3"/>
  <c r="D26" i="3"/>
  <c r="G25" i="3"/>
  <c r="H25" i="3" s="1"/>
  <c r="G24" i="3"/>
  <c r="G23" i="3"/>
  <c r="F22" i="3"/>
  <c r="E22" i="3"/>
  <c r="D22" i="3"/>
  <c r="G21" i="3"/>
  <c r="H21" i="3" s="1"/>
  <c r="G20" i="3"/>
  <c r="H20" i="3" s="1"/>
  <c r="F15" i="3"/>
  <c r="E15" i="3"/>
  <c r="D15" i="3"/>
  <c r="F12" i="3"/>
  <c r="E12" i="3"/>
  <c r="D12" i="3"/>
  <c r="G8" i="3"/>
  <c r="G237" i="2"/>
  <c r="F237" i="2"/>
  <c r="F238" i="2" s="1"/>
  <c r="E237" i="2"/>
  <c r="E238" i="2" s="1"/>
  <c r="G235" i="2"/>
  <c r="F235" i="2"/>
  <c r="E235" i="2"/>
  <c r="G234" i="2"/>
  <c r="F234" i="2"/>
  <c r="E234" i="2"/>
  <c r="G232" i="2"/>
  <c r="G233" i="2" s="1"/>
  <c r="F232" i="2"/>
  <c r="F233" i="2" s="1"/>
  <c r="E232" i="2"/>
  <c r="E233" i="2" s="1"/>
  <c r="G230" i="2"/>
  <c r="F230" i="2"/>
  <c r="F231" i="2" s="1"/>
  <c r="E230" i="2"/>
  <c r="E231" i="2" s="1"/>
  <c r="G227" i="2"/>
  <c r="G228" i="2" s="1"/>
  <c r="F227" i="2"/>
  <c r="F228" i="2" s="1"/>
  <c r="E227" i="2"/>
  <c r="E228" i="2" s="1"/>
  <c r="G225" i="2"/>
  <c r="F225" i="2"/>
  <c r="E225" i="2"/>
  <c r="G224" i="2"/>
  <c r="F224" i="2"/>
  <c r="E224" i="2"/>
  <c r="G222" i="2"/>
  <c r="F222" i="2"/>
  <c r="E222" i="2"/>
  <c r="G221" i="2"/>
  <c r="F221" i="2"/>
  <c r="E221" i="2"/>
  <c r="G219" i="2"/>
  <c r="F219" i="2"/>
  <c r="E219" i="2"/>
  <c r="G218" i="2"/>
  <c r="F218" i="2"/>
  <c r="E218" i="2"/>
  <c r="G217" i="2"/>
  <c r="F217" i="2"/>
  <c r="E217" i="2"/>
  <c r="G216" i="2"/>
  <c r="F216" i="2"/>
  <c r="E216" i="2"/>
  <c r="G215" i="2"/>
  <c r="F215" i="2"/>
  <c r="E215" i="2"/>
  <c r="G212" i="2"/>
  <c r="F212" i="2"/>
  <c r="E212" i="2"/>
  <c r="G211" i="2"/>
  <c r="F211" i="2"/>
  <c r="E211" i="2"/>
  <c r="G210" i="2"/>
  <c r="F210" i="2"/>
  <c r="E210" i="2"/>
  <c r="G208" i="2"/>
  <c r="F208" i="2"/>
  <c r="E208" i="2"/>
  <c r="G207" i="2"/>
  <c r="F207" i="2"/>
  <c r="E207" i="2"/>
  <c r="G206" i="2"/>
  <c r="F206" i="2"/>
  <c r="E206" i="2"/>
  <c r="G205" i="2"/>
  <c r="F205" i="2"/>
  <c r="E205" i="2"/>
  <c r="G204" i="2"/>
  <c r="F204" i="2"/>
  <c r="E204" i="2"/>
  <c r="G203" i="2"/>
  <c r="F203" i="2"/>
  <c r="E203" i="2"/>
  <c r="G202" i="2"/>
  <c r="F202" i="2"/>
  <c r="E202" i="2"/>
  <c r="G200" i="2"/>
  <c r="F200" i="2"/>
  <c r="E200" i="2"/>
  <c r="G199" i="2"/>
  <c r="F199" i="2"/>
  <c r="E199" i="2"/>
  <c r="G198" i="2"/>
  <c r="F198" i="2"/>
  <c r="E198" i="2"/>
  <c r="G197" i="2"/>
  <c r="F197" i="2"/>
  <c r="E197" i="2"/>
  <c r="G196" i="2"/>
  <c r="F196" i="2"/>
  <c r="E196" i="2"/>
  <c r="G195" i="2"/>
  <c r="F195" i="2"/>
  <c r="E195" i="2"/>
  <c r="G183" i="2"/>
  <c r="F183" i="2"/>
  <c r="E183" i="2"/>
  <c r="G180" i="2"/>
  <c r="F180" i="2"/>
  <c r="E180" i="2"/>
  <c r="G175" i="2"/>
  <c r="F175" i="2"/>
  <c r="E175" i="2"/>
  <c r="G152" i="2"/>
  <c r="F152" i="2"/>
  <c r="G146" i="2"/>
  <c r="F146" i="2"/>
  <c r="E146" i="2"/>
  <c r="G141" i="2"/>
  <c r="F141" i="2"/>
  <c r="F133" i="2"/>
  <c r="E133" i="2"/>
  <c r="F129" i="2"/>
  <c r="E129" i="2"/>
  <c r="F117" i="2"/>
  <c r="E117" i="2"/>
  <c r="G115" i="2"/>
  <c r="F115" i="2"/>
  <c r="G113" i="2"/>
  <c r="F113" i="2"/>
  <c r="E113" i="2"/>
  <c r="G86" i="2"/>
  <c r="F86" i="2"/>
  <c r="E86" i="2"/>
  <c r="G85" i="2"/>
  <c r="F85" i="2"/>
  <c r="E85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4" i="2"/>
  <c r="F74" i="2"/>
  <c r="E74" i="2"/>
  <c r="G73" i="2"/>
  <c r="F73" i="2"/>
  <c r="E73" i="2"/>
  <c r="G72" i="2"/>
  <c r="F72" i="2"/>
  <c r="E72" i="2"/>
  <c r="G71" i="2"/>
  <c r="F71" i="2"/>
  <c r="E71" i="2"/>
  <c r="G69" i="2"/>
  <c r="F69" i="2"/>
  <c r="E69" i="2"/>
  <c r="G68" i="2"/>
  <c r="F68" i="2"/>
  <c r="E68" i="2"/>
  <c r="G66" i="2"/>
  <c r="F66" i="2"/>
  <c r="E66" i="2"/>
  <c r="G65" i="2"/>
  <c r="F65" i="2"/>
  <c r="E65" i="2"/>
  <c r="G60" i="2"/>
  <c r="F60" i="2"/>
  <c r="E60" i="2"/>
  <c r="F57" i="2"/>
  <c r="E57" i="2"/>
  <c r="F52" i="2"/>
  <c r="E52" i="2"/>
  <c r="F49" i="2"/>
  <c r="E49" i="2"/>
  <c r="G45" i="2"/>
  <c r="F45" i="2"/>
  <c r="E45" i="2"/>
  <c r="G42" i="2"/>
  <c r="F42" i="2"/>
  <c r="E42" i="2"/>
  <c r="F39" i="2"/>
  <c r="E39" i="2"/>
  <c r="E34" i="2"/>
  <c r="F32" i="2"/>
  <c r="E32" i="2"/>
  <c r="G19" i="2"/>
  <c r="F19" i="2"/>
  <c r="E19" i="2"/>
  <c r="G11" i="2"/>
  <c r="G12" i="2" s="1"/>
  <c r="F11" i="2"/>
  <c r="F12" i="2" s="1"/>
  <c r="E11" i="2"/>
  <c r="E12" i="2" s="1"/>
  <c r="E10" i="2"/>
  <c r="E10" i="1"/>
  <c r="E14" i="1" s="1"/>
  <c r="D10" i="1"/>
  <c r="D14" i="1" s="1"/>
  <c r="C10" i="1"/>
  <c r="E7" i="1"/>
  <c r="D7" i="1"/>
  <c r="E27" i="3" l="1"/>
  <c r="D6" i="1" s="1"/>
  <c r="D9" i="1"/>
  <c r="D15" i="1" s="1"/>
  <c r="H73" i="2"/>
  <c r="I73" i="2" s="1"/>
  <c r="F10" i="1"/>
  <c r="F142" i="2"/>
  <c r="H127" i="2"/>
  <c r="I127" i="2" s="1"/>
  <c r="G39" i="2"/>
  <c r="H39" i="2" s="1"/>
  <c r="I39" i="2" s="1"/>
  <c r="H36" i="2"/>
  <c r="I36" i="2" s="1"/>
  <c r="E88" i="2"/>
  <c r="F34" i="2"/>
  <c r="F61" i="2" s="1"/>
  <c r="H151" i="2"/>
  <c r="I151" i="2" s="1"/>
  <c r="H69" i="2"/>
  <c r="I69" i="2" s="1"/>
  <c r="H187" i="2"/>
  <c r="I187" i="2" s="1"/>
  <c r="H200" i="2"/>
  <c r="I200" i="2" s="1"/>
  <c r="H197" i="2"/>
  <c r="I197" i="2" s="1"/>
  <c r="H206" i="2"/>
  <c r="I206" i="2" s="1"/>
  <c r="H217" i="2"/>
  <c r="I217" i="2" s="1"/>
  <c r="E226" i="2"/>
  <c r="E229" i="2" s="1"/>
  <c r="H230" i="2"/>
  <c r="I230" i="2" s="1"/>
  <c r="F67" i="2"/>
  <c r="F226" i="2"/>
  <c r="F229" i="2" s="1"/>
  <c r="G67" i="2"/>
  <c r="H150" i="2"/>
  <c r="I150" i="2" s="1"/>
  <c r="H159" i="2"/>
  <c r="H184" i="2"/>
  <c r="I184" i="2" s="1"/>
  <c r="H37" i="2"/>
  <c r="I37" i="2" s="1"/>
  <c r="E70" i="2"/>
  <c r="H135" i="2"/>
  <c r="I135" i="2" s="1"/>
  <c r="H163" i="2"/>
  <c r="I163" i="2" s="1"/>
  <c r="H53" i="2"/>
  <c r="H59" i="2"/>
  <c r="I59" i="2" s="1"/>
  <c r="G84" i="2"/>
  <c r="H126" i="2"/>
  <c r="I126" i="2" s="1"/>
  <c r="H128" i="2"/>
  <c r="I128" i="2" s="1"/>
  <c r="H158" i="2"/>
  <c r="H166" i="2"/>
  <c r="I166" i="2" s="1"/>
  <c r="H174" i="2"/>
  <c r="I174" i="2" s="1"/>
  <c r="H185" i="2"/>
  <c r="I185" i="2" s="1"/>
  <c r="H219" i="2"/>
  <c r="I219" i="2" s="1"/>
  <c r="F236" i="2"/>
  <c r="G75" i="2"/>
  <c r="H155" i="2"/>
  <c r="I155" i="2" s="1"/>
  <c r="H196" i="2"/>
  <c r="I196" i="2" s="1"/>
  <c r="H56" i="2"/>
  <c r="I56" i="2" s="1"/>
  <c r="H167" i="2"/>
  <c r="I167" i="2" s="1"/>
  <c r="H169" i="2"/>
  <c r="H157" i="2"/>
  <c r="G213" i="2"/>
  <c r="H79" i="2"/>
  <c r="I79" i="2" s="1"/>
  <c r="H179" i="2"/>
  <c r="I179" i="2" s="1"/>
  <c r="H195" i="2"/>
  <c r="I195" i="2" s="1"/>
  <c r="H204" i="2"/>
  <c r="I204" i="2" s="1"/>
  <c r="F176" i="2"/>
  <c r="H125" i="2"/>
  <c r="I125" i="2" s="1"/>
  <c r="H175" i="2"/>
  <c r="I175" i="2" s="1"/>
  <c r="H161" i="2"/>
  <c r="H198" i="2"/>
  <c r="I198" i="2" s="1"/>
  <c r="H47" i="2"/>
  <c r="H156" i="2"/>
  <c r="H78" i="2"/>
  <c r="I78" i="2" s="1"/>
  <c r="H65" i="2"/>
  <c r="I65" i="2" s="1"/>
  <c r="H60" i="2"/>
  <c r="I60" i="2" s="1"/>
  <c r="F70" i="2"/>
  <c r="H81" i="2"/>
  <c r="I81" i="2" s="1"/>
  <c r="F87" i="2"/>
  <c r="H132" i="2"/>
  <c r="I132" i="2" s="1"/>
  <c r="H138" i="2"/>
  <c r="I138" i="2" s="1"/>
  <c r="H172" i="2"/>
  <c r="I172" i="2" s="1"/>
  <c r="H199" i="2"/>
  <c r="I199" i="2" s="1"/>
  <c r="H208" i="2"/>
  <c r="I208" i="2" s="1"/>
  <c r="H222" i="2"/>
  <c r="I222" i="2" s="1"/>
  <c r="G231" i="2"/>
  <c r="H231" i="2" s="1"/>
  <c r="I231" i="2" s="1"/>
  <c r="H54" i="2"/>
  <c r="I54" i="2" s="1"/>
  <c r="H140" i="2"/>
  <c r="I140" i="2" s="1"/>
  <c r="H41" i="2"/>
  <c r="I41" i="2" s="1"/>
  <c r="F75" i="2"/>
  <c r="E84" i="2"/>
  <c r="H143" i="2"/>
  <c r="I143" i="2" s="1"/>
  <c r="H182" i="2"/>
  <c r="I182" i="2" s="1"/>
  <c r="H203" i="2"/>
  <c r="I203" i="2" s="1"/>
  <c r="H212" i="2"/>
  <c r="I212" i="2" s="1"/>
  <c r="G236" i="2"/>
  <c r="H148" i="2"/>
  <c r="I148" i="2" s="1"/>
  <c r="H164" i="2"/>
  <c r="I164" i="2" s="1"/>
  <c r="H211" i="2"/>
  <c r="I211" i="2" s="1"/>
  <c r="E75" i="2"/>
  <c r="H124" i="2"/>
  <c r="I124" i="2" s="1"/>
  <c r="H133" i="2"/>
  <c r="I133" i="2" s="1"/>
  <c r="H136" i="2"/>
  <c r="I136" i="2" s="1"/>
  <c r="E186" i="2"/>
  <c r="F189" i="2"/>
  <c r="F213" i="2"/>
  <c r="F186" i="2"/>
  <c r="E223" i="2"/>
  <c r="G226" i="2"/>
  <c r="F220" i="2"/>
  <c r="H227" i="2"/>
  <c r="I227" i="2" s="1"/>
  <c r="H51" i="2"/>
  <c r="I51" i="2" s="1"/>
  <c r="G57" i="2"/>
  <c r="H57" i="2" s="1"/>
  <c r="I57" i="2" s="1"/>
  <c r="H76" i="2"/>
  <c r="I76" i="2" s="1"/>
  <c r="H123" i="2"/>
  <c r="I123" i="2" s="1"/>
  <c r="H130" i="2"/>
  <c r="I130" i="2" s="1"/>
  <c r="H137" i="2"/>
  <c r="I137" i="2" s="1"/>
  <c r="H145" i="2"/>
  <c r="I145" i="2" s="1"/>
  <c r="H173" i="2"/>
  <c r="I173" i="2" s="1"/>
  <c r="H183" i="2"/>
  <c r="I183" i="2" s="1"/>
  <c r="G186" i="2"/>
  <c r="H205" i="2"/>
  <c r="I205" i="2" s="1"/>
  <c r="H207" i="2"/>
  <c r="I207" i="2" s="1"/>
  <c r="H216" i="2"/>
  <c r="I216" i="2" s="1"/>
  <c r="I31" i="2"/>
  <c r="H38" i="2"/>
  <c r="I38" i="2" s="1"/>
  <c r="H48" i="2"/>
  <c r="I48" i="2" s="1"/>
  <c r="H68" i="2"/>
  <c r="I68" i="2" s="1"/>
  <c r="H71" i="2"/>
  <c r="I71" i="2" s="1"/>
  <c r="H77" i="2"/>
  <c r="I77" i="2" s="1"/>
  <c r="H168" i="2"/>
  <c r="I168" i="2" s="1"/>
  <c r="G189" i="2"/>
  <c r="H225" i="2"/>
  <c r="I225" i="2" s="1"/>
  <c r="H146" i="2"/>
  <c r="I146" i="2" s="1"/>
  <c r="H49" i="2"/>
  <c r="I49" i="2" s="1"/>
  <c r="E220" i="2"/>
  <c r="H40" i="2"/>
  <c r="I40" i="2" s="1"/>
  <c r="H45" i="2"/>
  <c r="I45" i="2" s="1"/>
  <c r="H129" i="2"/>
  <c r="I129" i="2" s="1"/>
  <c r="H153" i="2"/>
  <c r="I153" i="2" s="1"/>
  <c r="H160" i="2"/>
  <c r="H162" i="2"/>
  <c r="I162" i="2" s="1"/>
  <c r="H165" i="2"/>
  <c r="I165" i="2" s="1"/>
  <c r="H171" i="2"/>
  <c r="I171" i="2" s="1"/>
  <c r="H190" i="2"/>
  <c r="F209" i="2"/>
  <c r="H218" i="2"/>
  <c r="I218" i="2" s="1"/>
  <c r="F223" i="2"/>
  <c r="E67" i="2"/>
  <c r="H233" i="2"/>
  <c r="I233" i="2" s="1"/>
  <c r="H235" i="2"/>
  <c r="I235" i="2" s="1"/>
  <c r="H44" i="2"/>
  <c r="I44" i="2" s="1"/>
  <c r="H50" i="2"/>
  <c r="I50" i="2" s="1"/>
  <c r="H66" i="2"/>
  <c r="I66" i="2" s="1"/>
  <c r="H86" i="2"/>
  <c r="I86" i="2" s="1"/>
  <c r="E201" i="2"/>
  <c r="E45" i="3"/>
  <c r="H104" i="2"/>
  <c r="I104" i="2" s="1"/>
  <c r="E99" i="2"/>
  <c r="D27" i="3"/>
  <c r="C6" i="1" s="1"/>
  <c r="F27" i="3"/>
  <c r="H16" i="3"/>
  <c r="H17" i="3" s="1"/>
  <c r="H23" i="3"/>
  <c r="G26" i="3"/>
  <c r="H26" i="3" s="1"/>
  <c r="H92" i="2"/>
  <c r="I92" i="2" s="1"/>
  <c r="H8" i="3"/>
  <c r="G10" i="3"/>
  <c r="G49" i="3"/>
  <c r="H100" i="2"/>
  <c r="I100" i="2" s="1"/>
  <c r="H98" i="2"/>
  <c r="I98" i="2" s="1"/>
  <c r="F22" i="2"/>
  <c r="G22" i="3"/>
  <c r="H22" i="3" s="1"/>
  <c r="E15" i="2"/>
  <c r="H24" i="2"/>
  <c r="H97" i="2"/>
  <c r="I97" i="2" s="1"/>
  <c r="E111" i="2"/>
  <c r="F96" i="2"/>
  <c r="G15" i="3"/>
  <c r="H15" i="3" s="1"/>
  <c r="H11" i="2"/>
  <c r="I11" i="2" s="1"/>
  <c r="I10" i="2"/>
  <c r="E22" i="2"/>
  <c r="G15" i="2"/>
  <c r="H95" i="2"/>
  <c r="I95" i="2" s="1"/>
  <c r="H18" i="2"/>
  <c r="I18" i="2" s="1"/>
  <c r="G35" i="3"/>
  <c r="G53" i="3"/>
  <c r="H53" i="3" s="1"/>
  <c r="E96" i="2"/>
  <c r="G51" i="3"/>
  <c r="H51" i="3" s="1"/>
  <c r="F105" i="2"/>
  <c r="G44" i="3"/>
  <c r="H44" i="3" s="1"/>
  <c r="F99" i="2"/>
  <c r="H110" i="2"/>
  <c r="I110" i="2" s="1"/>
  <c r="I14" i="2"/>
  <c r="H25" i="2"/>
  <c r="I25" i="2" s="1"/>
  <c r="H113" i="2"/>
  <c r="I113" i="2" s="1"/>
  <c r="H12" i="2"/>
  <c r="I12" i="2" s="1"/>
  <c r="E105" i="2"/>
  <c r="F15" i="2"/>
  <c r="G99" i="2"/>
  <c r="H21" i="2"/>
  <c r="I21" i="2" s="1"/>
  <c r="H103" i="2"/>
  <c r="I103" i="2" s="1"/>
  <c r="H23" i="2"/>
  <c r="I23" i="2" s="1"/>
  <c r="G96" i="2"/>
  <c r="H94" i="2"/>
  <c r="I94" i="2" s="1"/>
  <c r="G22" i="2"/>
  <c r="F26" i="2"/>
  <c r="G105" i="2"/>
  <c r="F111" i="2"/>
  <c r="H19" i="2"/>
  <c r="I19" i="2" s="1"/>
  <c r="H42" i="2"/>
  <c r="I42" i="2" s="1"/>
  <c r="E26" i="2"/>
  <c r="H46" i="2"/>
  <c r="I46" i="2" s="1"/>
  <c r="G111" i="2"/>
  <c r="H109" i="2"/>
  <c r="H14" i="3"/>
  <c r="H35" i="2"/>
  <c r="I35" i="2" s="1"/>
  <c r="H101" i="2"/>
  <c r="I101" i="2" s="1"/>
  <c r="H131" i="2"/>
  <c r="I131" i="2" s="1"/>
  <c r="H154" i="2"/>
  <c r="I154" i="2" s="1"/>
  <c r="H181" i="2"/>
  <c r="I181" i="2" s="1"/>
  <c r="H188" i="2"/>
  <c r="I188" i="2" s="1"/>
  <c r="E209" i="2"/>
  <c r="H202" i="2"/>
  <c r="I202" i="2" s="1"/>
  <c r="H224" i="2"/>
  <c r="I224" i="2" s="1"/>
  <c r="H228" i="2"/>
  <c r="I228" i="2" s="1"/>
  <c r="H232" i="2"/>
  <c r="I232" i="2" s="1"/>
  <c r="H40" i="3"/>
  <c r="G24" i="4"/>
  <c r="H134" i="2"/>
  <c r="I134" i="2" s="1"/>
  <c r="E141" i="2"/>
  <c r="H141" i="2" s="1"/>
  <c r="I141" i="2" s="1"/>
  <c r="D42" i="4"/>
  <c r="D52" i="4" s="1"/>
  <c r="G52" i="4" s="1"/>
  <c r="H52" i="4" s="1"/>
  <c r="G35" i="4"/>
  <c r="G32" i="2"/>
  <c r="H43" i="2"/>
  <c r="I43" i="2" s="1"/>
  <c r="H55" i="2"/>
  <c r="I55" i="2" s="1"/>
  <c r="G26" i="2"/>
  <c r="H83" i="2"/>
  <c r="I83" i="2" s="1"/>
  <c r="H112" i="2"/>
  <c r="I112" i="2" s="1"/>
  <c r="E189" i="2"/>
  <c r="F201" i="2"/>
  <c r="G223" i="2"/>
  <c r="H223" i="2" s="1"/>
  <c r="I223" i="2" s="1"/>
  <c r="H221" i="2"/>
  <c r="I221" i="2" s="1"/>
  <c r="H234" i="2"/>
  <c r="I234" i="2" s="1"/>
  <c r="E236" i="2"/>
  <c r="F84" i="2"/>
  <c r="H85" i="2"/>
  <c r="E87" i="2"/>
  <c r="E115" i="2"/>
  <c r="H115" i="2" s="1"/>
  <c r="I115" i="2" s="1"/>
  <c r="H114" i="2"/>
  <c r="I114" i="2" s="1"/>
  <c r="E152" i="2"/>
  <c r="E176" i="2" s="1"/>
  <c r="H147" i="2"/>
  <c r="I147" i="2" s="1"/>
  <c r="E213" i="2"/>
  <c r="H210" i="2"/>
  <c r="I210" i="2" s="1"/>
  <c r="H20" i="2"/>
  <c r="I20" i="2" s="1"/>
  <c r="H58" i="2"/>
  <c r="I58" i="2" s="1"/>
  <c r="E61" i="2"/>
  <c r="G70" i="2"/>
  <c r="H80" i="2"/>
  <c r="I80" i="2" s="1"/>
  <c r="H82" i="2"/>
  <c r="I82" i="2" s="1"/>
  <c r="H93" i="2"/>
  <c r="I93" i="2" s="1"/>
  <c r="H102" i="2"/>
  <c r="I102" i="2" s="1"/>
  <c r="H144" i="2"/>
  <c r="I144" i="2" s="1"/>
  <c r="H170" i="2"/>
  <c r="I170" i="2" s="1"/>
  <c r="H180" i="2"/>
  <c r="I180" i="2" s="1"/>
  <c r="G220" i="2"/>
  <c r="G238" i="2"/>
  <c r="H238" i="2" s="1"/>
  <c r="I238" i="2" s="1"/>
  <c r="H237" i="2"/>
  <c r="I237" i="2" s="1"/>
  <c r="G52" i="2"/>
  <c r="H52" i="2" s="1"/>
  <c r="I52" i="2" s="1"/>
  <c r="G201" i="2"/>
  <c r="H72" i="2"/>
  <c r="I72" i="2" s="1"/>
  <c r="H74" i="2"/>
  <c r="I74" i="2" s="1"/>
  <c r="G87" i="2"/>
  <c r="H139" i="2"/>
  <c r="G176" i="2"/>
  <c r="G209" i="2"/>
  <c r="D72" i="7"/>
  <c r="D119" i="7" s="1"/>
  <c r="G59" i="7"/>
  <c r="H59" i="7" s="1"/>
  <c r="D24" i="4"/>
  <c r="C7" i="1" s="1"/>
  <c r="C9" i="1" s="1"/>
  <c r="G40" i="7"/>
  <c r="H40" i="7" s="1"/>
  <c r="G108" i="7"/>
  <c r="H108" i="7" s="1"/>
  <c r="G105" i="7"/>
  <c r="H105" i="7" s="1"/>
  <c r="H215" i="2"/>
  <c r="I215" i="2" s="1"/>
  <c r="G12" i="3"/>
  <c r="H12" i="3" s="1"/>
  <c r="G38" i="3"/>
  <c r="G41" i="4"/>
  <c r="H41" i="4" s="1"/>
  <c r="G27" i="7"/>
  <c r="F119" i="7"/>
  <c r="G119" i="7" s="1"/>
  <c r="H119" i="7" s="1"/>
  <c r="E117" i="7"/>
  <c r="E119" i="7" s="1"/>
  <c r="G72" i="7"/>
  <c r="H72" i="7" s="1"/>
  <c r="E27" i="2" l="1"/>
  <c r="F191" i="2"/>
  <c r="H84" i="2"/>
  <c r="I84" i="2" s="1"/>
  <c r="H236" i="2"/>
  <c r="I236" i="2" s="1"/>
  <c r="F88" i="2"/>
  <c r="E6" i="1"/>
  <c r="E9" i="1" s="1"/>
  <c r="E15" i="1" s="1"/>
  <c r="F54" i="3"/>
  <c r="G10" i="1"/>
  <c r="F14" i="1"/>
  <c r="G14" i="1" s="1"/>
  <c r="C15" i="1"/>
  <c r="H186" i="2"/>
  <c r="I186" i="2" s="1"/>
  <c r="E142" i="2"/>
  <c r="E191" i="2" s="1"/>
  <c r="H226" i="2"/>
  <c r="I226" i="2" s="1"/>
  <c r="H75" i="2"/>
  <c r="I75" i="2" s="1"/>
  <c r="H67" i="2"/>
  <c r="I67" i="2" s="1"/>
  <c r="H213" i="2"/>
  <c r="I213" i="2" s="1"/>
  <c r="H189" i="2"/>
  <c r="I189" i="2" s="1"/>
  <c r="G229" i="2"/>
  <c r="H229" i="2" s="1"/>
  <c r="I229" i="2" s="1"/>
  <c r="H70" i="2"/>
  <c r="I70" i="2" s="1"/>
  <c r="H220" i="2"/>
  <c r="I220" i="2" s="1"/>
  <c r="G142" i="2"/>
  <c r="G191" i="2" s="1"/>
  <c r="E214" i="2"/>
  <c r="E239" i="2" s="1"/>
  <c r="H176" i="2"/>
  <c r="I176" i="2" s="1"/>
  <c r="H99" i="2"/>
  <c r="I99" i="2" s="1"/>
  <c r="H35" i="3"/>
  <c r="G45" i="3"/>
  <c r="H45" i="3" s="1"/>
  <c r="H22" i="2"/>
  <c r="I22" i="2" s="1"/>
  <c r="H15" i="2"/>
  <c r="I15" i="2" s="1"/>
  <c r="G27" i="3"/>
  <c r="H10" i="3"/>
  <c r="H111" i="2"/>
  <c r="I111" i="2" s="1"/>
  <c r="F106" i="2"/>
  <c r="H26" i="2"/>
  <c r="I26" i="2" s="1"/>
  <c r="E106" i="2"/>
  <c r="I8" i="2"/>
  <c r="H105" i="2"/>
  <c r="I105" i="2" s="1"/>
  <c r="F27" i="2"/>
  <c r="G106" i="2"/>
  <c r="H96" i="2"/>
  <c r="I96" i="2" s="1"/>
  <c r="H209" i="2"/>
  <c r="I209" i="2" s="1"/>
  <c r="H87" i="2"/>
  <c r="I87" i="2" s="1"/>
  <c r="I85" i="2"/>
  <c r="H152" i="2"/>
  <c r="I152" i="2" s="1"/>
  <c r="F7" i="1"/>
  <c r="G7" i="1" s="1"/>
  <c r="H24" i="4"/>
  <c r="G27" i="2"/>
  <c r="G214" i="2"/>
  <c r="H201" i="2"/>
  <c r="I201" i="2" s="1"/>
  <c r="H38" i="3"/>
  <c r="H35" i="4"/>
  <c r="G42" i="4"/>
  <c r="H42" i="4" s="1"/>
  <c r="F214" i="2"/>
  <c r="F239" i="2" s="1"/>
  <c r="G49" i="7"/>
  <c r="H49" i="7" s="1"/>
  <c r="H27" i="7"/>
  <c r="G34" i="2"/>
  <c r="H34" i="2" s="1"/>
  <c r="I34" i="2" s="1"/>
  <c r="H33" i="2"/>
  <c r="I33" i="2" s="1"/>
  <c r="H32" i="2"/>
  <c r="I32" i="2" s="1"/>
  <c r="H214" i="2" l="1"/>
  <c r="I214" i="2" s="1"/>
  <c r="F9" i="1"/>
  <c r="G9" i="1" s="1"/>
  <c r="F15" i="1"/>
  <c r="G15" i="1" s="1"/>
  <c r="H142" i="2"/>
  <c r="I142" i="2" s="1"/>
  <c r="G116" i="2"/>
  <c r="F55" i="3"/>
  <c r="F56" i="3" s="1"/>
  <c r="G54" i="3"/>
  <c r="H27" i="3"/>
  <c r="F6" i="1"/>
  <c r="G88" i="2"/>
  <c r="H88" i="2" s="1"/>
  <c r="I88" i="2" s="1"/>
  <c r="H191" i="2"/>
  <c r="I191" i="2" s="1"/>
  <c r="G61" i="2"/>
  <c r="H61" i="2" s="1"/>
  <c r="I61" i="2" s="1"/>
  <c r="G239" i="2"/>
  <c r="H239" i="2" s="1"/>
  <c r="I239" i="2" s="1"/>
  <c r="H106" i="2"/>
  <c r="I106" i="2" s="1"/>
  <c r="H27" i="2"/>
  <c r="I27" i="2" s="1"/>
  <c r="H54" i="3" l="1"/>
  <c r="G55" i="3"/>
  <c r="G117" i="2"/>
  <c r="G118" i="2" s="1"/>
  <c r="H116" i="2"/>
  <c r="I116" i="2" s="1"/>
  <c r="H117" i="2" l="1"/>
  <c r="I117" i="2" s="1"/>
  <c r="H118" i="2"/>
  <c r="I118" i="2" s="1"/>
  <c r="H55" i="3"/>
  <c r="G56" i="3"/>
  <c r="H56" i="3" s="1"/>
</calcChain>
</file>

<file path=xl/sharedStrings.xml><?xml version="1.0" encoding="utf-8"?>
<sst xmlns="http://schemas.openxmlformats.org/spreadsheetml/2006/main" count="2196" uniqueCount="540">
  <si>
    <t>&lt;세 입&gt;                                                                                                                                                                                                               (단위:원)</t>
  </si>
  <si>
    <t>-놀이·미술·언어·음악치료 76,800,000원             (회당 40,000원)</t>
  </si>
  <si>
    <t>-전년도이월금(사업수입) 97,648,444원
-전년도이월금(자부담) 10,873,207원</t>
  </si>
  <si>
    <t>-놀이·미술·언어·음악치료 80,640,000원             (회당 40,000원)</t>
  </si>
  <si>
    <t>&lt;세 출&gt;                                                                                                                                                                                                           (단위: 원)</t>
  </si>
  <si>
    <t>-지역사회연계사업비 16,035,000원
-실습지도사업비 400,000원
-주민복지증진사업비 29,085,000원
-주민조직화사업비 48,550,000원
-주민교육사업비 7,580,000원
-자원개발및관리사업비 8,300,000원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</si>
  <si>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</si>
  <si>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-가족수당 13,490,000원
-연장근로수당 66,853,000원
-명절휴가비 69,350,000원
-정액급식비 29,640,000원
-관리자수당 2,400,000원
-단축근로분담수당 1,600,000원</t>
  </si>
  <si>
    <r>
      <rPr>
        <b/>
        <sz val="13"/>
        <color rgb="FF000000"/>
        <rFont val="맑은 고딕"/>
        <family val="3"/>
        <charset val="129"/>
      </rPr>
      <t xml:space="preserve">&lt;세 출&gt;  </t>
    </r>
    <r>
      <rPr>
        <b/>
        <sz val="12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(단위:원)</t>
    </r>
  </si>
  <si>
    <t>-가족관계증진사업비 59,840,000원
-가정문제해결치료사업비 191,741,000원
-급식서비스사업비 325,289,000원
-경제적지원사업비 45,000,000원
-일상생활지원사업비 76,410,000원
-정서서비스사업비 42,280,000원
-교육문화사업비 65,515,000원
-문해교육사업비 11,600,000원
-모니터링사업비 200,000원</t>
  </si>
  <si>
    <t>&lt;세 출&gt;                                                                                                                                                                                    (단위: 원)</t>
  </si>
  <si>
    <t>-아동청소년사회교육 4,800,000원
-노인여가문화 5,040,000원
-생활체육 106,350,000원</t>
  </si>
  <si>
    <t>&lt;세출&gt;                                                                                                                                                                                                      (단위:원)</t>
  </si>
  <si>
    <t>&lt;세입&gt;                                                                                                                                                                                                        (단위:원)</t>
  </si>
  <si>
    <t>&lt;세 입&gt;                                                                                                                                                                                                        (단위:원)</t>
  </si>
  <si>
    <t>-시설운영위원회 1,800,000원
-인사위원회 800,000원
-식자재납품평가위원회 800,000원
-직원회의 600,000원
-기타회의비 4,000,000원</t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</si>
  <si>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2025년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7,550,000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2025년 예산 총액 </t>
    </r>
    <r>
      <rPr>
        <u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9,000,000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16.1% 감소</t>
    </r>
  </si>
  <si>
    <t>&lt;세 출&gt;                                                                                                                                                                                                        (단위: 원)</t>
  </si>
  <si>
    <t>&lt;세 입&gt;                                                                                                                                                                       (단위:원)</t>
  </si>
  <si>
    <t>-무더위쉼터 1,530,000원
-1인가구돌봄사업 12,000,000원
-1인가구지원사업 7,000,000원
-1인가구커뮤니티활성화사업 7,000,000원
-지역공감어울림축제 7,500,000원
-지역단위고립가구전담기구 10,000,000원
-청소년동아리지원사업 1,000,000원
-평생학습캠퍼스사업 5,400,000원</t>
  </si>
  <si>
    <t>-전년도이월금(지정후원금) 16,948,607원
-전년도이월금(비지정후원금) 25,757,116원</t>
  </si>
  <si>
    <t xml:space="preserve">                                              (단위: 원)</t>
  </si>
  <si>
    <t>-지정후원금 40,000,000원
-지정후원금(결연) 45,000,000원
-지정후원금(봉삼회) 6,900,000원
-모금함 10,000,000원
-꿈꾸는아이들 19,800,000원
-3기꿈디자이너 18,020,000원
-배움터교육지원사업 12,000,000원
-복권기금사업 9,005,000원
-아동건강보장사업 10,000,000원
-아동통합돌봄지원사업 9,000,000원
-위기임산부지원사업 15,000,000원
-은둔고립청년먹거리지원사업 3,150,000원
-중장년돌봄안전망형성사업 10,005,000원
-희망온돌 10,505,000원</t>
  </si>
  <si>
    <t>-인건비 355,965,000원
-운영비 47,744,000원
-비정규직처우개선비 352,000원
-종사자복지포인트 2,261,000원
-기능보강사업 34,383,000원
-경로식당 19,044,000원
-식사배달 14,460,000원
-밑반찬배달 3,974,000원
-영양사인건비 11,914,000원
-조리사인건비 11,812,000원
-급식운영 1,600,000원
-성인문해교육 7,000,000원</t>
  </si>
  <si>
    <r>
      <rPr>
        <b/>
        <sz val="13"/>
        <color rgb="FF000000"/>
        <rFont val="맑은 고딕"/>
        <family val="3"/>
        <charset val="129"/>
      </rPr>
      <t xml:space="preserve">&lt;세 입&gt;  </t>
    </r>
    <r>
      <rPr>
        <b/>
        <sz val="11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(단위:원)</t>
    </r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</si>
  <si>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</si>
  <si>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r>
      <rPr>
        <b/>
        <sz val="13"/>
        <color rgb="FF000000"/>
        <rFont val="맑은 고딕"/>
        <family val="3"/>
        <charset val="129"/>
      </rPr>
      <t>&lt;세 입&gt;</t>
    </r>
    <r>
      <rPr>
        <b/>
        <sz val="11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/r>
  </si>
  <si>
    <t>-인건비 661,076,000원
-운영비 88,667,000원
-비정규직처우개선비 651,000원
-종사자복지포인트 4,199,000원
-공간개방사업 9,600,000원
-기능보강사업 51,574,000원
-냉방비 2,000,000원
-경로식당 88,353,000원
-식사배달 68,928,000원
-밑반찬배달 47,021,000원
-영양사인건비 17,871,000원
-조리사인건비 17,718,000원
-급식운영 2,000,000원
-지역밀착형사회복지관 7,000,000원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</si>
  <si>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</si>
  <si>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(단위:원)</t>
  </si>
  <si>
    <t>-직원식대 21,600,000원
-기타잡수입 10,000,000원</t>
  </si>
  <si>
    <t>-사례발굴사업비 500,000원
-사례개입사업비 37,000,000원</t>
  </si>
  <si>
    <t>-기본인력 보조금분 85,734,000원
-비정규직종사자처우개선비분 78,000원
-기본인력 자부담분 168,000원</t>
  </si>
  <si>
    <t>-기본인력 보조금분 78,297,000원
-비정규직종사자처우개선비분 60,000원
-기본인력 자부담분 134,000원</t>
  </si>
  <si>
    <t>-복지포인트 7,700,000원
-비정규직처우개선비 1,020,000원
-중도퇴사자연가보상비 600,000원
-직원포상 600,000원
-기타후생경비 4,000,000원</t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</si>
  <si>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2024년 예산 총액 </t>
    </r>
    <r>
      <rPr>
        <u/>
        <sz val="12"/>
        <color rgb="FF000000"/>
        <rFont val="맑은 고딕"/>
        <family val="3"/>
        <charset val="129"/>
      </rPr>
      <t xml:space="preserve">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</t>
    </r>
    <r>
      <rPr>
        <b/>
        <sz val="12"/>
        <color rgb="FF000000"/>
        <rFont val="맑은 고딕"/>
        <family val="3"/>
        <charset val="129"/>
      </rPr>
      <t xml:space="preserve">     % </t>
    </r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</si>
  <si>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2024년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 xml:space="preserve">                  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2024년 예산 총액</t>
    </r>
    <r>
      <rPr>
        <b/>
        <u/>
        <sz val="12"/>
        <color rgb="FF000000"/>
        <rFont val="맑은 고딕"/>
        <family val="3"/>
        <charset val="129"/>
      </rPr>
      <t xml:space="preserve">                     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0%</t>
    </r>
  </si>
  <si>
    <t>-놀이·미술·언어·음악·인지치료 42,240,000원     (회당 40,000원)</t>
  </si>
  <si>
    <r>
      <t>출자금이자 감소</t>
    </r>
    <r>
      <rPr>
        <sz val="11"/>
        <color rgb="FF000000"/>
        <rFont val="맑은 고딕"/>
        <family val="3"/>
        <charset val="129"/>
      </rPr>
      <t xml:space="preserve"> 환급액 감소</t>
    </r>
  </si>
  <si>
    <t>2025년 추경예산(안)
(B)</t>
  </si>
  <si>
    <t>-성인문해교육 3,500,000원</t>
  </si>
  <si>
    <t>-반환금 20,000,000원</t>
  </si>
  <si>
    <t>2024년 결산
(1월~7월)</t>
  </si>
  <si>
    <t>2024년 추경예산(안)(B)</t>
  </si>
  <si>
    <t>2025년 추경예산(안)(B)</t>
  </si>
  <si>
    <t>2024년 결산
(1월~8월)</t>
  </si>
  <si>
    <t>2025년 결산
(1월~8월)</t>
  </si>
  <si>
    <t>사회복지법인 YWCA 복지사업단</t>
  </si>
  <si>
    <t>2024년 
추경예산(안)(B)</t>
  </si>
  <si>
    <t>2025년 결산
(1월~10월)</t>
  </si>
  <si>
    <t>-기관운영비 3,600,000원</t>
  </si>
  <si>
    <t>2025년 결산
(1월~11월)</t>
  </si>
  <si>
    <t> 2025년도 추경예산(안) 총괄표</t>
  </si>
  <si>
    <t>운영충당적립금 및 환경개선준비금</t>
  </si>
  <si>
    <t>-예비비 12,000,000원</t>
  </si>
  <si>
    <t>-기본인력 673,822,000원</t>
  </si>
  <si>
    <t>운영충당 적립금 및 환경 개선준비금</t>
  </si>
  <si>
    <t>-비지정후원금 20,000,000원</t>
  </si>
  <si>
    <t>2024년 추경예산(안)
(B)</t>
  </si>
  <si>
    <t>2025년 결산
(1~10월)</t>
  </si>
  <si>
    <t>여비</t>
  </si>
  <si>
    <t>잡수입</t>
  </si>
  <si>
    <t>인건비</t>
  </si>
  <si>
    <t>반환금</t>
  </si>
  <si>
    <t>의료비</t>
  </si>
  <si>
    <t>기관명</t>
  </si>
  <si>
    <t>구분</t>
  </si>
  <si>
    <t>제수당</t>
  </si>
  <si>
    <t>차량비</t>
  </si>
  <si>
    <t>전입금</t>
  </si>
  <si>
    <t>연료비</t>
  </si>
  <si>
    <t>합계</t>
  </si>
  <si>
    <t xml:space="preserve"> </t>
  </si>
  <si>
    <t>생계비</t>
  </si>
  <si>
    <t>이월금</t>
  </si>
  <si>
    <t>전출금</t>
  </si>
  <si>
    <t>총계</t>
  </si>
  <si>
    <t>운영비</t>
  </si>
  <si>
    <t>관</t>
  </si>
  <si>
    <t>예비비</t>
  </si>
  <si>
    <t>잡지출</t>
  </si>
  <si>
    <t>직책금</t>
  </si>
  <si>
    <t>과목</t>
  </si>
  <si>
    <t>회의비</t>
  </si>
  <si>
    <t>NO</t>
  </si>
  <si>
    <t>보육료</t>
  </si>
  <si>
    <t>적립급</t>
  </si>
  <si>
    <t>피복비</t>
  </si>
  <si>
    <t>항</t>
  </si>
  <si>
    <t>목</t>
  </si>
  <si>
    <t>시설비</t>
  </si>
  <si>
    <t>급여</t>
  </si>
  <si>
    <t>행사비</t>
  </si>
  <si>
    <t>사무비</t>
  </si>
  <si>
    <t>적립금</t>
  </si>
  <si>
    <t>사업비</t>
  </si>
  <si>
    <t>소계</t>
  </si>
  <si>
    <t>수용비 및 수수료</t>
  </si>
  <si>
    <t>퇴직금 및 퇴직적립금</t>
  </si>
  <si>
    <t>시설장비 유지비</t>
  </si>
  <si>
    <t>(단위 : 원)</t>
  </si>
  <si>
    <t>전년도이월금(후원금)</t>
  </si>
  <si>
    <t>목적사업비준비금</t>
  </si>
  <si>
    <t>은학의집(총괄)</t>
  </si>
  <si>
    <t>기타필요경비지출</t>
  </si>
  <si>
    <t>전년도이월사업비</t>
  </si>
  <si>
    <t>아동발달지원센터수입</t>
  </si>
  <si>
    <t>공동모금회사업비</t>
  </si>
  <si>
    <t>증감액(B-A)</t>
  </si>
  <si>
    <t>지역아동센터사업비</t>
  </si>
  <si>
    <t>전년도 이월사업비</t>
  </si>
  <si>
    <t>장애아동바우처사업수입</t>
  </si>
  <si>
    <t>교육문화사업수입</t>
  </si>
  <si>
    <t>재가노인센터사업비</t>
  </si>
  <si>
    <t>교직원연수.연구비</t>
  </si>
  <si>
    <t>급식. 간식 재료비</t>
  </si>
  <si>
    <t xml:space="preserve">법
인
회
계
</t>
  </si>
  <si>
    <t>치료지원사업수입</t>
  </si>
  <si>
    <t>기타예금이자수입</t>
  </si>
  <si>
    <t xml:space="preserve">시
설
회
계
</t>
  </si>
  <si>
    <t xml:space="preserve">교재.교구.구입비 </t>
  </si>
  <si>
    <t>시설회계  소계</t>
  </si>
  <si>
    <t>청소년지원센터사업비</t>
  </si>
  <si>
    <t xml:space="preserve"> 시
설
회
계
</t>
  </si>
  <si>
    <t>선택적보육활동비</t>
  </si>
  <si>
    <t>자원봉사자관리사업비</t>
  </si>
  <si>
    <t>07예비비 및 기타</t>
  </si>
  <si>
    <t>후원자관리사업비</t>
  </si>
  <si>
    <t>법인전입금(후원금)</t>
  </si>
  <si>
    <t>적립금 및 준비금</t>
  </si>
  <si>
    <t>장기요양급여수입</t>
  </si>
  <si>
    <t>예비비 및 기타</t>
  </si>
  <si>
    <t>서비스제공사업비</t>
  </si>
  <si>
    <t>보유교직원인건비</t>
  </si>
  <si>
    <t>사회심리재활사업비</t>
  </si>
  <si>
    <t>발달재활바우처사업비</t>
  </si>
  <si>
    <t>입소(이용)비용수입</t>
  </si>
  <si>
    <t>2025년 예산(A)</t>
  </si>
  <si>
    <t>부모부담 보육료</t>
  </si>
  <si>
    <t>시설환경개선준비금</t>
  </si>
  <si>
    <t>실버비지니스사업</t>
  </si>
  <si>
    <t>임대보증금비용수입</t>
  </si>
  <si>
    <t>운영충당적립금 지출</t>
  </si>
  <si>
    <t>정비지원 보육료</t>
  </si>
  <si>
    <t>지역조직화사업비</t>
  </si>
  <si>
    <t>이자수입</t>
  </si>
  <si>
    <t>세부내역</t>
  </si>
  <si>
    <t>자산취득비</t>
  </si>
  <si>
    <t>기관운영비</t>
  </si>
  <si>
    <t>인건비보조금</t>
  </si>
  <si>
    <t>부산지부사업비</t>
  </si>
  <si>
    <t>기타운영비</t>
  </si>
  <si>
    <t>운영충당적립금</t>
  </si>
  <si>
    <t>과년도수입</t>
  </si>
  <si>
    <t>공공형운영비</t>
  </si>
  <si>
    <t>서울지부</t>
  </si>
  <si>
    <t>과  목</t>
  </si>
  <si>
    <t>적립금처분수입</t>
  </si>
  <si>
    <t>퇴직적립금</t>
  </si>
  <si>
    <t>전년도이월금</t>
  </si>
  <si>
    <t>금월잔액</t>
  </si>
  <si>
    <t>공공요금</t>
  </si>
  <si>
    <t>지정후원금</t>
  </si>
  <si>
    <t>시군구보조금</t>
  </si>
  <si>
    <t>사업수입</t>
  </si>
  <si>
    <t>금월이월금</t>
  </si>
  <si>
    <t>시도보조금</t>
  </si>
  <si>
    <t>기타지원금</t>
  </si>
  <si>
    <t>제세공과금</t>
  </si>
  <si>
    <t>본부사무국</t>
  </si>
  <si>
    <t>법인회계 소계</t>
  </si>
  <si>
    <t>기타잡수입</t>
  </si>
  <si>
    <t>특별활동비지출</t>
  </si>
  <si>
    <t>수용비및수수료</t>
  </si>
  <si>
    <t>비지정후원금</t>
  </si>
  <si>
    <t>보육교직원수당</t>
  </si>
  <si>
    <t>기타후생경비</t>
  </si>
  <si>
    <t>기타보조금</t>
  </si>
  <si>
    <t>전년도 이월금</t>
  </si>
  <si>
    <t>영육아복리비</t>
  </si>
  <si>
    <t>사회보험부담금</t>
  </si>
  <si>
    <t>사회보험료</t>
  </si>
  <si>
    <t>가산금수입</t>
  </si>
  <si>
    <t>지역조직화수입</t>
  </si>
  <si>
    <t>부모부담보육료</t>
  </si>
  <si>
    <t>의료재활사업비</t>
  </si>
  <si>
    <t>비율(%)</t>
  </si>
  <si>
    <t>식재료수입</t>
  </si>
  <si>
    <t>기본보육료</t>
  </si>
  <si>
    <t>정부지원보육료</t>
  </si>
  <si>
    <t>실습생지도수입</t>
  </si>
  <si>
    <t>과년도 지출</t>
  </si>
  <si>
    <t>증감사유</t>
  </si>
  <si>
    <t>업무추진비</t>
  </si>
  <si>
    <t>부산지부</t>
  </si>
  <si>
    <t>바우처수입</t>
  </si>
  <si>
    <t>원장급여</t>
  </si>
  <si>
    <t>보조금수입</t>
  </si>
  <si>
    <t>06잡지출</t>
  </si>
  <si>
    <t>특별활동비</t>
  </si>
  <si>
    <t>법정부담금</t>
  </si>
  <si>
    <t>사례관리사업비</t>
  </si>
  <si>
    <t>시설장비유지비</t>
  </si>
  <si>
    <t>법인전입금</t>
  </si>
  <si>
    <t>기타비급여수입</t>
  </si>
  <si>
    <t>후원사업비</t>
  </si>
  <si>
    <t>복리후생비</t>
  </si>
  <si>
    <t>보육교직원급여</t>
  </si>
  <si>
    <t>상급침실이용료</t>
  </si>
  <si>
    <t>직원식재료수입</t>
  </si>
  <si>
    <t>울산씨밀레</t>
  </si>
  <si>
    <t>국고보조금</t>
  </si>
  <si>
    <t>일용잡급</t>
  </si>
  <si>
    <t>기타인건비</t>
  </si>
  <si>
    <t>서비스제공수입</t>
  </si>
  <si>
    <t>특별행사사업비</t>
  </si>
  <si>
    <t>업무추친비</t>
  </si>
  <si>
    <t>수익자부담경비</t>
  </si>
  <si>
    <t>보육활동비</t>
  </si>
  <si>
    <t>보조금및지원금</t>
  </si>
  <si>
    <t>기타필요경비</t>
  </si>
  <si>
    <t>재산수입</t>
  </si>
  <si>
    <t>교육재활사업비</t>
  </si>
  <si>
    <t>관리운영비</t>
  </si>
  <si>
    <t>수익자부담수입</t>
  </si>
  <si>
    <t>자산구입비</t>
  </si>
  <si>
    <t>기본재산수입</t>
  </si>
  <si>
    <t>기타지원사업비</t>
  </si>
  <si>
    <t>문화탐방비</t>
  </si>
  <si>
    <t>후원금수입</t>
  </si>
  <si>
    <t>재산조성비</t>
  </si>
  <si>
    <t>이월금 확정</t>
  </si>
  <si>
    <t>기본보육활동비</t>
  </si>
  <si>
    <t>운영보조금</t>
  </si>
  <si>
    <t>&lt;세 출&gt;</t>
  </si>
  <si>
    <t>전년도 이월액</t>
  </si>
  <si>
    <t xml:space="preserve">총    액 </t>
  </si>
  <si>
    <t>수용기관경비</t>
  </si>
  <si>
    <t>원장인건비</t>
  </si>
  <si>
    <t>본인부담금수입</t>
  </si>
  <si>
    <t>프로그램사업비</t>
  </si>
  <si>
    <t>요양급여수입</t>
  </si>
  <si>
    <t>전년도이월액</t>
  </si>
  <si>
    <t>특별급식비</t>
  </si>
  <si>
    <t>후원금 수입</t>
  </si>
  <si>
    <t>가족참여사업비</t>
  </si>
  <si>
    <t xml:space="preserve">사업비 </t>
  </si>
  <si>
    <t>기타전입금</t>
  </si>
  <si>
    <r>
      <t xml:space="preserve"> 출자금</t>
    </r>
    <r>
      <rPr>
        <sz val="11"/>
        <color rgb="FF000000"/>
        <rFont val="맑은 고딕"/>
        <family val="3"/>
        <charset val="129"/>
      </rPr>
      <t xml:space="preserve"> 이자</t>
    </r>
  </si>
  <si>
    <t>이월금확정</t>
  </si>
  <si>
    <t>불용품매각대</t>
  </si>
  <si>
    <t>사업
수입</t>
  </si>
  <si>
    <t>기관부담금</t>
  </si>
  <si>
    <t>직책보조비</t>
  </si>
  <si>
    <t>홍보사업비</t>
  </si>
  <si>
    <t>직업재활사업비</t>
  </si>
  <si>
    <r>
      <t xml:space="preserve"> </t>
    </r>
    <r>
      <rPr>
        <b/>
        <sz val="13"/>
        <color rgb="FF000000"/>
        <rFont val="맑은 고딕"/>
        <family val="3"/>
        <charset val="129"/>
      </rPr>
      <t>&lt;세 출&gt;</t>
    </r>
  </si>
  <si>
    <t>2025년 서울YWCA봉천종합사회복지관 추경예산(안)</t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</si>
  <si>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2025년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2,380,000,000</t>
    </r>
    <r>
      <rPr>
        <b/>
        <sz val="12"/>
        <color rgb="FF000000"/>
        <rFont val="맑은 고딕"/>
        <family val="3"/>
        <charset val="129"/>
      </rPr>
      <t xml:space="preserve">원
</t>
    </r>
    <r>
      <rPr>
        <sz val="12"/>
        <color rgb="FF000000"/>
        <rFont val="맑은 고딕"/>
        <family val="3"/>
        <charset val="129"/>
      </rPr>
      <t xml:space="preserve">                  2025년 예산 총액 </t>
    </r>
    <r>
      <rPr>
        <u/>
        <sz val="12"/>
        <color rgb="FF000000"/>
        <rFont val="맑은 고딕"/>
        <family val="3"/>
        <charset val="129"/>
      </rPr>
      <t>2,280,000,000</t>
    </r>
    <r>
      <rPr>
        <sz val="12"/>
        <color rgb="FF000000"/>
        <rFont val="맑은 고딕"/>
        <family val="3"/>
        <charset val="129"/>
      </rPr>
      <t>원 대비 4.4% 증가</t>
    </r>
  </si>
  <si>
    <t xml:space="preserve">2025년 은학의집 재가복지 추경예산(안) </t>
  </si>
  <si>
    <t>-종합안전배상공제료 등 17,641,000원</t>
  </si>
  <si>
    <t>2024년 강서어린이집 추경예산(안)</t>
  </si>
  <si>
    <t>2025년 은학의집 추경예산(안) 총괄</t>
  </si>
  <si>
    <t>-시설비품 등 구입 25,000,000원</t>
  </si>
  <si>
    <t> 2025년도 본부사무국 추경예산(안)</t>
  </si>
  <si>
    <t> 2025년도 부산지부 추경예산(안)</t>
  </si>
  <si>
    <t>-차량(3대)유류대 등 8,400,000원</t>
  </si>
  <si>
    <t> 2025년도 서울지부 추경예산(안)</t>
  </si>
  <si>
    <t>-옥상배수공사 등 134,159,000원</t>
  </si>
  <si>
    <t>-도시가스요금 등 59,196,000원</t>
  </si>
  <si>
    <t>-전년도수강료환불 등 1,500,000원</t>
  </si>
  <si>
    <t>-환경미화용품구입 등 36,732,000원</t>
  </si>
  <si>
    <t>-종사자직무교육비 등 49,715,000원</t>
  </si>
  <si>
    <r>
      <t xml:space="preserve">2025년 추경예산(안) </t>
    </r>
    <r>
      <rPr>
        <b/>
        <u/>
        <sz val="22"/>
        <color rgb="FF2F5597"/>
        <rFont val="맑은 고딕"/>
        <family val="3"/>
        <charset val="129"/>
      </rPr>
      <t>지부별</t>
    </r>
    <r>
      <rPr>
        <b/>
        <u/>
        <sz val="22"/>
        <color rgb="FF000000"/>
        <rFont val="맑은 고딕"/>
        <family val="3"/>
        <charset val="129"/>
      </rPr>
      <t xml:space="preserve"> 총괄표</t>
    </r>
  </si>
  <si>
    <t>2024년 서울Y누리봄 추경예산(안)</t>
  </si>
  <si>
    <t>공공요금 및 제세공과금</t>
  </si>
  <si>
    <t>시설회계(부산강서어린이집)</t>
  </si>
  <si>
    <t>시설환경개선부담금 지출</t>
  </si>
  <si>
    <t>기타예금이자수입(후원금)</t>
  </si>
  <si>
    <t>결산대비 
예산 비율(%)</t>
  </si>
  <si>
    <t>-여비 2,600,000원</t>
  </si>
  <si>
    <t>2024년 예산
(A)</t>
  </si>
  <si>
    <t>금월잔액
(차기이월금)</t>
  </si>
  <si>
    <t>2025년 예산
(A)</t>
  </si>
  <si>
    <t>사회복지법인YWCA복지사업단</t>
  </si>
  <si>
    <t>입소자(이용자)부담금 수입</t>
  </si>
  <si>
    <t>전년도이월금
(후원금)</t>
  </si>
  <si>
    <t>-실습생지도 400,000원</t>
  </si>
  <si>
    <t>적립금 및 준비금(특별회계)</t>
  </si>
  <si>
    <t>-예금이자 420,626원</t>
  </si>
  <si>
    <t>차입금</t>
    <phoneticPr fontId="25" type="noConversion"/>
  </si>
  <si>
    <t>차입금</t>
    <phoneticPr fontId="25" type="noConversion"/>
  </si>
  <si>
    <t>본부사무국 이자수익만 반영</t>
    <phoneticPr fontId="27" type="noConversion"/>
  </si>
  <si>
    <t>은학의집 차량매각대금(총 2대,  32,800,000원)</t>
  </si>
  <si>
    <t>12월 만기 예금 발생 이자수익 포함(2,928,429원)</t>
  </si>
  <si>
    <t xml:space="preserve">법인세 환급금, 2022년 귀속 장애인고용분담금 환급금 등 </t>
  </si>
  <si>
    <t>2025년 결산
 (1월~10월)</t>
    <phoneticPr fontId="25" type="noConversion"/>
  </si>
  <si>
    <t>선임급 은학의집 개발업무추진 담당자 1인 미채용
월 8,000,000원 * 5개월 = 40,000,000원 삭제</t>
  </si>
  <si>
    <t xml:space="preserve">명절 및 성탄선물, 대외비등 </t>
  </si>
  <si>
    <t>은학의집 폐원 준비 회의비</t>
  </si>
  <si>
    <t>은학의집 공공요금(수도,난방, 경비시스템 등)</t>
  </si>
  <si>
    <t>은학의집 차량 보험료, 기반시설 명의변경 등 비용</t>
  </si>
  <si>
    <t>목적사업기금 적립금</t>
  </si>
  <si>
    <t>재산조성비</t>
    <phoneticPr fontId="25" type="noConversion"/>
  </si>
  <si>
    <t>시설비</t>
    <phoneticPr fontId="25" type="noConversion"/>
  </si>
  <si>
    <t>개발PM, 운영기획PM용역 100,000,000원
일반설계비 120,000,000원
각 영향평가 등 15,000,000원</t>
  </si>
  <si>
    <t>은학의집 전출금</t>
    <phoneticPr fontId="25" type="noConversion"/>
  </si>
  <si>
    <t>은학의집 전출금(폐업이후 급여, 위로금)</t>
  </si>
  <si>
    <t>차입금</t>
    <phoneticPr fontId="25" type="noConversion"/>
  </si>
  <si>
    <t>기타차입금</t>
    <phoneticPr fontId="25" type="noConversion"/>
  </si>
  <si>
    <t>기타차입금</t>
    <phoneticPr fontId="25" type="noConversion"/>
  </si>
  <si>
    <t>2025년 결산
(1월~10월)</t>
    <phoneticPr fontId="25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</si>
  <si>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2025년 추경예산(안) 총액27,044,000원
                  2025년 예산 총액27,050,000원 대비 0.0%</t>
    </r>
    <phoneticPr fontId="25" type="noConversion"/>
  </si>
  <si>
    <t xml:space="preserve">&lt;세 입&gt;                                                                                                                                                                                    (단위:원) </t>
    <phoneticPr fontId="25" type="noConversion"/>
  </si>
  <si>
    <t>2025년 결산
(1월~10월)</t>
    <phoneticPr fontId="25" type="noConversion"/>
  </si>
  <si>
    <t>직원근무시간변동으로 인한 급여 감소</t>
    <phoneticPr fontId="25" type="noConversion"/>
  </si>
  <si>
    <t>급여감소로 인한 퇴직적립금 감소</t>
    <phoneticPr fontId="25" type="noConversion"/>
  </si>
  <si>
    <t>급여감소로 인한 사회보험료 감소</t>
    <phoneticPr fontId="25" type="noConversion"/>
  </si>
  <si>
    <t>직원근무기간변동으로 인한 중식지원비 감소</t>
    <phoneticPr fontId="25" type="noConversion"/>
  </si>
  <si>
    <t>미발생</t>
    <phoneticPr fontId="25" type="noConversion"/>
  </si>
  <si>
    <t>미발생</t>
    <phoneticPr fontId="25" type="noConversion"/>
  </si>
  <si>
    <t>2024년도 장애인고용부담금 증가</t>
    <phoneticPr fontId="25" type="noConversion"/>
  </si>
  <si>
    <t>차년도이월금 증가</t>
    <phoneticPr fontId="25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</si>
  <si>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 xml:space="preserve">2025년 추경예산(안) 총액  </t>
    </r>
    <r>
      <rPr>
        <b/>
        <u/>
        <sz val="12"/>
        <color rgb="FF000000"/>
        <rFont val="맑은 고딕"/>
        <family val="3"/>
        <charset val="129"/>
      </rPr>
      <t>2,930,000,000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2025년 예산 총액</t>
    </r>
    <r>
      <rPr>
        <b/>
        <sz val="12"/>
        <color rgb="FF000000"/>
        <rFont val="맑은 고딕"/>
        <family val="3"/>
        <charset val="129"/>
      </rPr>
      <t xml:space="preserve">  </t>
    </r>
    <r>
      <rPr>
        <b/>
        <u/>
        <sz val="12"/>
        <color rgb="FF000000"/>
        <rFont val="맑은 고딕"/>
        <family val="3"/>
        <charset val="129"/>
      </rPr>
      <t>4,250,000,000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</t>
    </r>
    <r>
      <rPr>
        <b/>
        <u/>
        <sz val="12"/>
        <color rgb="FF000000"/>
        <rFont val="맑은 고딕"/>
        <family val="3"/>
        <charset val="129"/>
      </rPr>
      <t>31.06%</t>
    </r>
    <phoneticPr fontId="25" type="noConversion"/>
  </si>
  <si>
    <t>2025년 결산
(1월~10월)</t>
    <phoneticPr fontId="25" type="noConversion"/>
  </si>
  <si>
    <t>운영 종료로 인한 이용자 감소</t>
    <phoneticPr fontId="35" type="noConversion"/>
  </si>
  <si>
    <t>운영 종료로 인한 이용자 감소</t>
    <phoneticPr fontId="35" type="noConversion"/>
  </si>
  <si>
    <t>장기외박자 비급여 본인부담금 증가</t>
    <phoneticPr fontId="35" type="noConversion"/>
  </si>
  <si>
    <t>운영 종료로 인한 실습생 감소</t>
    <phoneticPr fontId="35" type="noConversion"/>
  </si>
  <si>
    <t>생계급여 수급자 예산적용</t>
    <phoneticPr fontId="35" type="noConversion"/>
  </si>
  <si>
    <t>후원금 감액</t>
    <phoneticPr fontId="35" type="noConversion"/>
  </si>
  <si>
    <t>법인전입금 적용</t>
    <phoneticPr fontId="25" type="noConversion"/>
  </si>
  <si>
    <t>이월금 적용</t>
    <phoneticPr fontId="35" type="noConversion"/>
  </si>
  <si>
    <t>예금이자 적용</t>
    <phoneticPr fontId="35" type="noConversion"/>
  </si>
  <si>
    <t>운영 종료로 인한 인원감축</t>
    <phoneticPr fontId="35" type="noConversion"/>
  </si>
  <si>
    <t>출산지원금</t>
    <phoneticPr fontId="25" type="noConversion"/>
  </si>
  <si>
    <t>운영 종료로 인한 인원감축</t>
  </si>
  <si>
    <t>위로금 적용</t>
  </si>
  <si>
    <t>기관운영비 감액</t>
  </si>
  <si>
    <t>회의비 감액</t>
  </si>
  <si>
    <t>운영종료로 인한 감액</t>
    <phoneticPr fontId="35" type="noConversion"/>
  </si>
  <si>
    <t>운영 종료로 인한 감액</t>
    <phoneticPr fontId="35" type="noConversion"/>
  </si>
  <si>
    <t>운영 종료로 인한 감액</t>
    <phoneticPr fontId="35" type="noConversion"/>
  </si>
  <si>
    <t>운영 종료로 인한 감액</t>
    <phoneticPr fontId="35" type="noConversion"/>
  </si>
  <si>
    <t>전출금</t>
    <phoneticPr fontId="25" type="noConversion"/>
  </si>
  <si>
    <t>법인회계전출금</t>
    <phoneticPr fontId="25" type="noConversion"/>
  </si>
  <si>
    <t>운영종료로 전출금 적용</t>
    <phoneticPr fontId="25" type="noConversion"/>
  </si>
  <si>
    <t>잡지출 조정</t>
    <phoneticPr fontId="35" type="noConversion"/>
  </si>
  <si>
    <t>예산 1% 내 조정</t>
    <phoneticPr fontId="35" type="noConversion"/>
  </si>
  <si>
    <t>실버비지니스 반환금 적용</t>
    <phoneticPr fontId="35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</si>
  <si>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2025년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1,637,000,000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2025년 예산 총액 </t>
    </r>
    <r>
      <rPr>
        <b/>
        <u/>
        <sz val="12"/>
        <color rgb="FF000000"/>
        <rFont val="맑은 고딕"/>
        <family val="3"/>
        <charset val="129"/>
      </rPr>
      <t xml:space="preserve"> 2,373,000,000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</t>
    </r>
    <r>
      <rPr>
        <b/>
        <u/>
        <sz val="12"/>
        <color rgb="FF000000"/>
        <rFont val="맑은 고딕"/>
        <family val="3"/>
        <charset val="129"/>
      </rPr>
      <t>31.02%</t>
    </r>
    <phoneticPr fontId="25" type="noConversion"/>
  </si>
  <si>
    <t>2025년 결산
(1월~10월)</t>
    <phoneticPr fontId="25" type="noConversion"/>
  </si>
  <si>
    <t>전출금</t>
    <phoneticPr fontId="25" type="noConversion"/>
  </si>
  <si>
    <t>법인회계전출금</t>
    <phoneticPr fontId="25" type="noConversion"/>
  </si>
  <si>
    <t xml:space="preserve">2025년 은학의집 요양시설 추경예산(안) </t>
    <phoneticPr fontId="25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</si>
  <si>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>2025년 추경예산(안)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1,293,000,000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 xml:space="preserve">2025년 예산 총액 </t>
    </r>
    <r>
      <rPr>
        <b/>
        <u/>
        <sz val="12"/>
        <color rgb="FF000000"/>
        <rFont val="맑은 고딕"/>
        <family val="3"/>
        <charset val="129"/>
      </rPr>
      <t xml:space="preserve"> 1,877,000,000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</t>
    </r>
    <r>
      <rPr>
        <b/>
        <u/>
        <sz val="12"/>
        <color rgb="FF000000"/>
        <rFont val="맑은 고딕"/>
        <family val="3"/>
        <charset val="129"/>
      </rPr>
      <t>-31.1</t>
    </r>
    <r>
      <rPr>
        <sz val="12"/>
        <color rgb="FF000000"/>
        <rFont val="맑은 고딕"/>
        <family val="3"/>
        <charset val="129"/>
      </rPr>
      <t>%</t>
    </r>
    <phoneticPr fontId="25" type="noConversion"/>
  </si>
  <si>
    <t>2025년 결산
(1월~10월)</t>
    <phoneticPr fontId="25" type="noConversion"/>
  </si>
  <si>
    <t>2025년 추경예산(안)
(B)</t>
    <phoneticPr fontId="25" type="noConversion"/>
  </si>
  <si>
    <t>2025년 결산
(1월~10월)</t>
    <phoneticPr fontId="25" type="noConversion"/>
  </si>
  <si>
    <t>2025년 결산
(1월~10월)</t>
    <phoneticPr fontId="25" type="noConversion"/>
  </si>
  <si>
    <t>2025년 울산씨밀레 추경예산(안)</t>
    <phoneticPr fontId="35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</si>
  <si>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2025년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391,574,097</t>
    </r>
    <r>
      <rPr>
        <b/>
        <sz val="12"/>
        <color theme="1"/>
        <rFont val="맑은 고딕"/>
        <family val="3"/>
        <charset val="129"/>
      </rPr>
      <t xml:space="preserve">원
                </t>
    </r>
    <r>
      <rPr>
        <sz val="12"/>
        <color theme="1"/>
        <rFont val="맑은 고딕"/>
        <family val="3"/>
        <charset val="129"/>
      </rPr>
      <t xml:space="preserve">2025년 예산 총액 </t>
    </r>
    <r>
      <rPr>
        <b/>
        <u/>
        <sz val="12"/>
        <color theme="1"/>
        <rFont val="맑은 고딕"/>
        <family val="3"/>
        <charset val="129"/>
      </rPr>
      <t xml:space="preserve"> 399,174,097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1.9% 감소</t>
    </r>
    <phoneticPr fontId="35" type="noConversion"/>
  </si>
  <si>
    <t>&lt;세입&gt;                                                                                                                                                                                   (단위:원)</t>
    <phoneticPr fontId="35" type="noConversion"/>
  </si>
  <si>
    <t>2025년 예산
(A)</t>
    <phoneticPr fontId="35" type="noConversion"/>
  </si>
  <si>
    <t>2025년 결산
(1월~10월)</t>
    <phoneticPr fontId="35" type="noConversion"/>
  </si>
  <si>
    <t>2025년 추경예산(안)(B)</t>
    <phoneticPr fontId="35" type="noConversion"/>
  </si>
  <si>
    <t>증감액(B-A)</t>
    <phoneticPr fontId="35" type="noConversion"/>
  </si>
  <si>
    <t>비율(%)</t>
    <phoneticPr fontId="35" type="noConversion"/>
  </si>
  <si>
    <t>세부내역</t>
    <phoneticPr fontId="35" type="noConversion"/>
  </si>
  <si>
    <t>입소자(이용자)부담금 수입</t>
    <phoneticPr fontId="35" type="noConversion"/>
  </si>
  <si>
    <t>입소(이용)비용수입</t>
    <phoneticPr fontId="35" type="noConversion"/>
  </si>
  <si>
    <t>임대보증금비용수입</t>
    <phoneticPr fontId="35" type="noConversion"/>
  </si>
  <si>
    <t>본인부담금수입</t>
    <phoneticPr fontId="35" type="noConversion"/>
  </si>
  <si>
    <t>식재료수입</t>
    <phoneticPr fontId="35" type="noConversion"/>
  </si>
  <si>
    <t>상급침실이용료</t>
    <phoneticPr fontId="35" type="noConversion"/>
  </si>
  <si>
    <t>기타비급여수입</t>
    <phoneticPr fontId="35" type="noConversion"/>
  </si>
  <si>
    <t>합 계</t>
    <phoneticPr fontId="35" type="noConversion"/>
  </si>
  <si>
    <t>사업수입</t>
    <phoneticPr fontId="35" type="noConversion"/>
  </si>
  <si>
    <t>아동발달지원센터수입</t>
    <phoneticPr fontId="35" type="noConversion"/>
  </si>
  <si>
    <t>장애아동바우처사업수입</t>
    <phoneticPr fontId="35" type="noConversion"/>
  </si>
  <si>
    <t>치료지원사업수입</t>
    <phoneticPr fontId="35" type="noConversion"/>
  </si>
  <si>
    <t>교육문화사업수입</t>
    <phoneticPr fontId="35" type="noConversion"/>
  </si>
  <si>
    <t>실습생지도수입</t>
    <phoneticPr fontId="35" type="noConversion"/>
  </si>
  <si>
    <t>서비스제공수입</t>
    <phoneticPr fontId="35" type="noConversion"/>
  </si>
  <si>
    <t>지역조직화수입</t>
    <phoneticPr fontId="35" type="noConversion"/>
  </si>
  <si>
    <t>바우처수입</t>
    <phoneticPr fontId="35" type="noConversion"/>
  </si>
  <si>
    <t>보조금수입</t>
    <phoneticPr fontId="35" type="noConversion"/>
  </si>
  <si>
    <t>국고보조금</t>
    <phoneticPr fontId="35" type="noConversion"/>
  </si>
  <si>
    <t>운영비 254,851,000/구조지원사업비 53,200,000/기능보강비 4,740,000/생계비 26,400,000</t>
    <phoneticPr fontId="35" type="noConversion"/>
  </si>
  <si>
    <t>시도보조금</t>
    <phoneticPr fontId="35" type="noConversion"/>
  </si>
  <si>
    <t>시보조금 33,998,000/복지포인트 2,000,000</t>
    <phoneticPr fontId="35" type="noConversion"/>
  </si>
  <si>
    <t>기타보조금</t>
    <phoneticPr fontId="35" type="noConversion"/>
  </si>
  <si>
    <t>합 계</t>
    <phoneticPr fontId="35" type="noConversion"/>
  </si>
  <si>
    <t>후원금수입</t>
    <phoneticPr fontId="35" type="noConversion"/>
  </si>
  <si>
    <t>지정기탁금 감소</t>
    <phoneticPr fontId="35" type="noConversion"/>
  </si>
  <si>
    <t>합 계</t>
    <phoneticPr fontId="35" type="noConversion"/>
  </si>
  <si>
    <t>요양급여수입</t>
    <phoneticPr fontId="35" type="noConversion"/>
  </si>
  <si>
    <t>장기요양급여수입</t>
    <phoneticPr fontId="35" type="noConversion"/>
  </si>
  <si>
    <t>가산금수입</t>
    <phoneticPr fontId="35" type="noConversion"/>
  </si>
  <si>
    <t>합계</t>
    <phoneticPr fontId="35" type="noConversion"/>
  </si>
  <si>
    <t>전입금</t>
    <phoneticPr fontId="35" type="noConversion"/>
  </si>
  <si>
    <t>법인전입금</t>
    <phoneticPr fontId="35" type="noConversion"/>
  </si>
  <si>
    <t>법인전입금(후원금)</t>
    <phoneticPr fontId="35" type="noConversion"/>
  </si>
  <si>
    <t>기타전입금</t>
    <phoneticPr fontId="35" type="noConversion"/>
  </si>
  <si>
    <t>이월금</t>
    <phoneticPr fontId="35" type="noConversion"/>
  </si>
  <si>
    <t>전년도이월금(후원금)</t>
    <phoneticPr fontId="35" type="noConversion"/>
  </si>
  <si>
    <t>잡수입</t>
    <phoneticPr fontId="35" type="noConversion"/>
  </si>
  <si>
    <t>불용품매각대</t>
    <phoneticPr fontId="35" type="noConversion"/>
  </si>
  <si>
    <t>기타예금이자수입</t>
    <phoneticPr fontId="35" type="noConversion"/>
  </si>
  <si>
    <t>보조금이자 8,000/후원금이자 2,000</t>
    <phoneticPr fontId="35" type="noConversion"/>
  </si>
  <si>
    <t>직원식재료수입</t>
    <phoneticPr fontId="35" type="noConversion"/>
  </si>
  <si>
    <t>적립금 및 준비금</t>
    <phoneticPr fontId="35" type="noConversion"/>
  </si>
  <si>
    <t>운영충당적립금 및 환경개선준비금</t>
    <phoneticPr fontId="35" type="noConversion"/>
  </si>
  <si>
    <t>운영충당적립금</t>
    <phoneticPr fontId="35" type="noConversion"/>
  </si>
  <si>
    <t>시설환경개선준비금</t>
    <phoneticPr fontId="35" type="noConversion"/>
  </si>
  <si>
    <t>총  계</t>
    <phoneticPr fontId="35" type="noConversion"/>
  </si>
  <si>
    <t>&lt;세출&gt;                                                                                                                                                                                     (단위:원)</t>
    <phoneticPr fontId="35" type="noConversion"/>
  </si>
  <si>
    <t>2025년 예산
(A)</t>
    <phoneticPr fontId="35" type="noConversion"/>
  </si>
  <si>
    <t>2025년 결산
(1월~10월)</t>
    <phoneticPr fontId="35" type="noConversion"/>
  </si>
  <si>
    <t>2025년 추경예산(안)(B)</t>
    <phoneticPr fontId="35" type="noConversion"/>
  </si>
  <si>
    <t>비율(%)</t>
    <phoneticPr fontId="35" type="noConversion"/>
  </si>
  <si>
    <t>세부내역</t>
    <phoneticPr fontId="35" type="noConversion"/>
  </si>
  <si>
    <t>사무비</t>
    <phoneticPr fontId="35" type="noConversion"/>
  </si>
  <si>
    <t>인건비</t>
    <phoneticPr fontId="35" type="noConversion"/>
  </si>
  <si>
    <t>종사자 퇴사등으로 인한 인건비 감소</t>
    <phoneticPr fontId="35" type="noConversion"/>
  </si>
  <si>
    <t xml:space="preserve">명절휴가비 10,702,000/시간외수당등 기타제수당 35,640,000 </t>
    <phoneticPr fontId="35" type="noConversion"/>
  </si>
  <si>
    <t>일용잡급</t>
    <phoneticPr fontId="35" type="noConversion"/>
  </si>
  <si>
    <t>퇴직금 및 퇴직적립금</t>
    <phoneticPr fontId="35" type="noConversion"/>
  </si>
  <si>
    <t>종사자 퇴사등으로 인한 인건비 감소</t>
    <phoneticPr fontId="35" type="noConversion"/>
  </si>
  <si>
    <t>국민연금 8,508,000/건강보험 7,884,000/고용보험 2,500,000/산재보험 1,860,000/정산금 692,000</t>
    <phoneticPr fontId="35" type="noConversion"/>
  </si>
  <si>
    <t>복지포인트 400,000*5명</t>
    <phoneticPr fontId="35" type="noConversion"/>
  </si>
  <si>
    <t>소 계</t>
    <phoneticPr fontId="35" type="noConversion"/>
  </si>
  <si>
    <t>업무추진비</t>
    <phoneticPr fontId="35" type="noConversion"/>
  </si>
  <si>
    <t>운영위원회의 참석수당1,000,000/내방객 차 구입비 400,000</t>
    <phoneticPr fontId="35" type="noConversion"/>
  </si>
  <si>
    <t>직책보조비</t>
    <phoneticPr fontId="35" type="noConversion"/>
  </si>
  <si>
    <t>소 계</t>
    <phoneticPr fontId="35" type="noConversion"/>
  </si>
  <si>
    <t>운영비</t>
    <phoneticPr fontId="35" type="noConversion"/>
  </si>
  <si>
    <t>관내출장비 1,000,000/관외출장여비 1,800,000</t>
    <phoneticPr fontId="35" type="noConversion"/>
  </si>
  <si>
    <t>기타수수료 및 사무용품 구입비 등 19,847,000</t>
    <phoneticPr fontId="35" type="noConversion"/>
  </si>
  <si>
    <t>공공요금</t>
    <phoneticPr fontId="35" type="noConversion"/>
  </si>
  <si>
    <t>전화요금 1,608,000/전기요금 1,650,000/상하수도요금 1,230,000/도시가스요금 4,700,000</t>
    <phoneticPr fontId="35" type="noConversion"/>
  </si>
  <si>
    <t>각종보험료 1,500,000/지방세등 세금 200,000/협회의 700,000</t>
    <phoneticPr fontId="35" type="noConversion"/>
  </si>
  <si>
    <t>주유비 720,000/차량유지비600,000/소모품비 500,000</t>
    <phoneticPr fontId="35" type="noConversion"/>
  </si>
  <si>
    <t>임차료</t>
    <phoneticPr fontId="35" type="noConversion"/>
  </si>
  <si>
    <t>종사자 워크숍 및 소진방지비 2,300,000/방제비 1,392,000</t>
    <phoneticPr fontId="35" type="noConversion"/>
  </si>
  <si>
    <t xml:space="preserve"> </t>
    <phoneticPr fontId="35" type="noConversion"/>
  </si>
  <si>
    <t>재산조성비</t>
    <phoneticPr fontId="35" type="noConversion"/>
  </si>
  <si>
    <t>시설비</t>
    <phoneticPr fontId="35" type="noConversion"/>
  </si>
  <si>
    <t>자산취득비 감소</t>
    <phoneticPr fontId="35" type="noConversion"/>
  </si>
  <si>
    <t>시설비</t>
    <phoneticPr fontId="35" type="noConversion"/>
  </si>
  <si>
    <t>기관시설장비유지비용 증가</t>
    <phoneticPr fontId="35" type="noConversion"/>
  </si>
  <si>
    <t>사업비</t>
    <phoneticPr fontId="35" type="noConversion"/>
  </si>
  <si>
    <t>생계비</t>
    <phoneticPr fontId="35" type="noConversion"/>
  </si>
  <si>
    <t>입소자 주부식비 감소</t>
    <phoneticPr fontId="35" type="noConversion"/>
  </si>
  <si>
    <t>수용기관경비</t>
    <phoneticPr fontId="35" type="noConversion"/>
  </si>
  <si>
    <t>입소자생활관련 소모품등 구입 증가</t>
    <phoneticPr fontId="35" type="noConversion"/>
  </si>
  <si>
    <t>피복비</t>
    <phoneticPr fontId="35" type="noConversion"/>
  </si>
  <si>
    <t>일시보호자 피복비 550,000</t>
    <phoneticPr fontId="35" type="noConversion"/>
  </si>
  <si>
    <t>의료비</t>
    <phoneticPr fontId="35" type="noConversion"/>
  </si>
  <si>
    <t>입소자 간병비 등 일반의료비 1,000,000</t>
    <phoneticPr fontId="35" type="noConversion"/>
  </si>
  <si>
    <t>특별급식비</t>
    <phoneticPr fontId="35" type="noConversion"/>
  </si>
  <si>
    <t>입소자 간식비 300,000</t>
    <phoneticPr fontId="35" type="noConversion"/>
  </si>
  <si>
    <t>사례관리사업비</t>
    <phoneticPr fontId="35" type="noConversion"/>
  </si>
  <si>
    <t>서비스제공사업비</t>
    <phoneticPr fontId="35" type="noConversion"/>
  </si>
  <si>
    <t>지역조직화사업비</t>
    <phoneticPr fontId="35" type="noConversion"/>
  </si>
  <si>
    <t>공동모금회사업비</t>
    <phoneticPr fontId="35" type="noConversion"/>
  </si>
  <si>
    <t>재가노인센터사업비</t>
    <phoneticPr fontId="35" type="noConversion"/>
  </si>
  <si>
    <t>지역아동센터사업비</t>
    <phoneticPr fontId="35" type="noConversion"/>
  </si>
  <si>
    <t>청소년지원센터사업비</t>
    <phoneticPr fontId="35" type="noConversion"/>
  </si>
  <si>
    <t>발달재활바우처사업비</t>
    <phoneticPr fontId="35" type="noConversion"/>
  </si>
  <si>
    <t>후원사업비</t>
    <phoneticPr fontId="35" type="noConversion"/>
  </si>
  <si>
    <t>기타지원사업비</t>
    <phoneticPr fontId="35" type="noConversion"/>
  </si>
  <si>
    <t>법률지원 3,500,000</t>
    <phoneticPr fontId="35" type="noConversion"/>
  </si>
  <si>
    <t>프로그램사업비</t>
    <phoneticPr fontId="35" type="noConversion"/>
  </si>
  <si>
    <t>가족참여사업비</t>
    <phoneticPr fontId="35" type="noConversion"/>
  </si>
  <si>
    <t>문화탐방비</t>
    <phoneticPr fontId="35" type="noConversion"/>
  </si>
  <si>
    <t>자원봉사자관리사업비</t>
    <phoneticPr fontId="35" type="noConversion"/>
  </si>
  <si>
    <t>홍보사업비</t>
    <phoneticPr fontId="35" type="noConversion"/>
  </si>
  <si>
    <t>후원자관리사업비</t>
    <phoneticPr fontId="35" type="noConversion"/>
  </si>
  <si>
    <t>실버비지니스사업</t>
    <phoneticPr fontId="35" type="noConversion"/>
  </si>
  <si>
    <t>특별행사사업비</t>
    <phoneticPr fontId="35" type="noConversion"/>
  </si>
  <si>
    <t>의료재활사업비</t>
    <phoneticPr fontId="35" type="noConversion"/>
  </si>
  <si>
    <t>건강검진비용 및 입원비등 지원 4,700,000</t>
    <phoneticPr fontId="35" type="noConversion"/>
  </si>
  <si>
    <t>사회심리재활사업비</t>
    <phoneticPr fontId="35" type="noConversion"/>
  </si>
  <si>
    <t>사회심리재활 사업비 후원금 증가</t>
    <phoneticPr fontId="35" type="noConversion"/>
  </si>
  <si>
    <t>교육재활사업비</t>
    <phoneticPr fontId="35" type="noConversion"/>
  </si>
  <si>
    <t>검정고시등 교육지원 1,500,000</t>
    <phoneticPr fontId="35" type="noConversion"/>
  </si>
  <si>
    <t>직업재활사업비</t>
    <phoneticPr fontId="35" type="noConversion"/>
  </si>
  <si>
    <t>컴퓨터활용능력 등 직업관련교육 지원 6,792,000</t>
    <phoneticPr fontId="35" type="noConversion"/>
  </si>
  <si>
    <t>사회심리재활사업비 후원금 증가</t>
    <phoneticPr fontId="35" type="noConversion"/>
  </si>
  <si>
    <t>잡지출</t>
    <phoneticPr fontId="35" type="noConversion"/>
  </si>
  <si>
    <t>예비비 및 기타</t>
    <phoneticPr fontId="35" type="noConversion"/>
  </si>
  <si>
    <t>예비비</t>
    <phoneticPr fontId="35" type="noConversion"/>
  </si>
  <si>
    <t>2024년 보조금 반환금 12,774,803/2025년 이자수입8,000원</t>
    <phoneticPr fontId="35" type="noConversion"/>
  </si>
  <si>
    <t>적립금 및 준비금</t>
    <phoneticPr fontId="35" type="noConversion"/>
  </si>
  <si>
    <t>운영충당 적립금 및 환경 개선준비금</t>
    <phoneticPr fontId="35" type="noConversion"/>
  </si>
  <si>
    <t>운영충당적립금</t>
    <phoneticPr fontId="35" type="noConversion"/>
  </si>
  <si>
    <t>적립금 및 준비금(특별회계)</t>
    <phoneticPr fontId="35" type="noConversion"/>
  </si>
  <si>
    <t>운영충당적립금 지출</t>
    <phoneticPr fontId="35" type="noConversion"/>
  </si>
  <si>
    <t>시설환경개선부담금 지출</t>
    <phoneticPr fontId="35" type="noConversion"/>
  </si>
  <si>
    <t>금월이월금</t>
    <phoneticPr fontId="35" type="noConversion"/>
  </si>
  <si>
    <t>금월이월금</t>
    <phoneticPr fontId="35" type="noConversion"/>
  </si>
  <si>
    <t>금월잔액</t>
    <phoneticPr fontId="35" type="noConversion"/>
  </si>
  <si>
    <t>총  계</t>
    <phoneticPr fontId="35" type="noConversion"/>
  </si>
  <si>
    <t>2025년 결산
(1월~10월)</t>
    <phoneticPr fontId="25" type="noConversion"/>
  </si>
  <si>
    <t>2025년 결산
(1월~10월)</t>
    <phoneticPr fontId="25" type="noConversion"/>
  </si>
  <si>
    <r>
      <t>계정과목 변경</t>
    </r>
    <r>
      <rPr>
        <sz val="11"/>
        <color rgb="FF000000"/>
        <rFont val="맑은 고딕"/>
        <family val="3"/>
        <charset val="129"/>
      </rPr>
      <t>(전입금-&gt;기본재산이자수입)</t>
    </r>
    <phoneticPr fontId="25" type="noConversion"/>
  </si>
  <si>
    <t>부산지부사업비 (삭제)</t>
    <phoneticPr fontId="25" type="noConversion"/>
  </si>
  <si>
    <t>서울지부사업비</t>
    <phoneticPr fontId="25" type="noConversion"/>
  </si>
  <si>
    <r>
      <t xml:space="preserve">전출금
</t>
    </r>
    <r>
      <rPr>
        <b/>
        <sz val="11"/>
        <color rgb="FFFF0000"/>
        <rFont val="맑은 고딕"/>
        <family val="3"/>
        <charset val="129"/>
      </rPr>
      <t xml:space="preserve">아예삭제 </t>
    </r>
    <phoneticPr fontId="25" type="noConversion"/>
  </si>
  <si>
    <t xml:space="preserve">은학의집 폐원으로 인한 감소 </t>
    <phoneticPr fontId="25" type="noConversion"/>
  </si>
  <si>
    <t xml:space="preserve">보조금 및 후원금 증가 </t>
    <phoneticPr fontId="25" type="noConversion"/>
  </si>
  <si>
    <t>서울YWCA 
봉천종합사회복지관</t>
    <phoneticPr fontId="25" type="noConversion"/>
  </si>
  <si>
    <t>서울YWCA봉천종합사회복지관전출금</t>
    <phoneticPr fontId="25" type="noConversion"/>
  </si>
  <si>
    <t>강서구지역자활센터
(재가장기요양사업)</t>
  </si>
  <si>
    <t xml:space="preserve">2025.2.14일자 운영 종료 </t>
  </si>
  <si>
    <t>(사) 서울YWCA  10,175,776원 
개인후원자 5,500,000원</t>
    <phoneticPr fontId="25" type="noConversion"/>
  </si>
  <si>
    <t>전입금</t>
    <phoneticPr fontId="25" type="noConversion"/>
  </si>
  <si>
    <t>-YWCA복지사업단 서울지부 전입 3,000,000원
-(사)서울YWCA 전입 7,000,000원</t>
    <phoneticPr fontId="25" type="noConversion"/>
  </si>
  <si>
    <t xml:space="preserve"> </t>
    <phoneticPr fontId="25" type="noConversion"/>
  </si>
  <si>
    <t>2025년 강서구지역자활센터(장기요양사업) 추경예산(안)</t>
  </si>
  <si>
    <r>
      <rPr>
        <b/>
        <sz val="12"/>
        <color theme="1"/>
        <rFont val="Malgun Gothic"/>
        <family val="3"/>
        <charset val="129"/>
      </rPr>
      <t xml:space="preserve">■ 추경금액 : </t>
    </r>
    <r>
      <rPr>
        <sz val="12"/>
        <color theme="1"/>
        <rFont val="Arial"/>
        <family val="2"/>
      </rPr>
      <t>2025년 추경예산 총액</t>
    </r>
    <r>
      <rPr>
        <b/>
        <u/>
        <sz val="12"/>
        <color theme="1"/>
        <rFont val="Arial"/>
        <family val="2"/>
      </rPr>
      <t xml:space="preserve"> 136,987,462</t>
    </r>
    <r>
      <rPr>
        <b/>
        <sz val="12"/>
        <color theme="1"/>
        <rFont val="Arial"/>
        <family val="2"/>
      </rPr>
      <t xml:space="preserve">원
                </t>
    </r>
    <r>
      <rPr>
        <sz val="12"/>
        <color theme="1"/>
        <rFont val="Arial"/>
        <family val="2"/>
      </rPr>
      <t xml:space="preserve">2025년 예산 총액 </t>
    </r>
    <r>
      <rPr>
        <b/>
        <u/>
        <sz val="12"/>
        <color theme="1"/>
        <rFont val="Arial"/>
        <family val="2"/>
      </rPr>
      <t>136,987,462</t>
    </r>
    <r>
      <rPr>
        <b/>
        <sz val="12"/>
        <color theme="1"/>
        <rFont val="Arial"/>
        <family val="2"/>
      </rPr>
      <t>원</t>
    </r>
    <r>
      <rPr>
        <sz val="12"/>
        <color theme="1"/>
        <rFont val="Arial"/>
        <family val="2"/>
      </rPr>
      <t xml:space="preserve"> 대비</t>
    </r>
    <r>
      <rPr>
        <b/>
        <sz val="12"/>
        <color theme="1"/>
        <rFont val="Arial"/>
        <family val="2"/>
      </rPr>
      <t xml:space="preserve"> 0.0</t>
    </r>
    <r>
      <rPr>
        <b/>
        <u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% </t>
    </r>
  </si>
  <si>
    <t xml:space="preserve">&lt;세입&gt;                                                                                                                                                                                                                    </t>
  </si>
  <si>
    <t>(단위:원)</t>
  </si>
  <si>
    <t>2025년 누적 결산액
(1월~6월)</t>
  </si>
  <si>
    <t>증감액
(B-A)</t>
  </si>
  <si>
    <t>합  계</t>
  </si>
  <si>
    <t xml:space="preserve">&lt;세 출&gt;                                                                                                                                                                                    </t>
  </si>
  <si>
    <t>(단위: 원)</t>
  </si>
  <si>
    <t>소 계</t>
  </si>
  <si>
    <t>임차료</t>
  </si>
  <si>
    <t>합 계</t>
  </si>
  <si>
    <t>총  계</t>
  </si>
  <si>
    <t>전출금</t>
    <phoneticPr fontId="25" type="noConversion"/>
  </si>
  <si>
    <t xml:space="preserve"> 은학의집 시설충당 잔여적립금 특별회계</t>
    <phoneticPr fontId="25" type="noConversion"/>
  </si>
  <si>
    <t>재산조성비</t>
    <phoneticPr fontId="25" type="noConversion"/>
  </si>
  <si>
    <t>시설비</t>
    <phoneticPr fontId="25" type="noConversion"/>
  </si>
  <si>
    <t xml:space="preserve">2025.1.1~2025.12.31 </t>
    <phoneticPr fontId="25" type="noConversion"/>
  </si>
  <si>
    <r>
      <t xml:space="preserve">■ 추경금액 : </t>
    </r>
    <r>
      <rPr>
        <sz val="12"/>
        <color rgb="FF000000"/>
        <rFont val="맑은 고딕"/>
        <family val="3"/>
        <charset val="129"/>
      </rPr>
      <t xml:space="preserve">2025년 추경예산(안) 총액 </t>
    </r>
    <r>
      <rPr>
        <b/>
        <u/>
        <sz val="12"/>
        <color rgb="FF000000"/>
        <rFont val="맑은 고딕"/>
        <family val="3"/>
        <charset val="129"/>
      </rPr>
      <t>1,290,294,970</t>
    </r>
    <r>
      <rPr>
        <b/>
        <sz val="12"/>
        <color rgb="FF000000"/>
        <rFont val="맑은 고딕"/>
        <family val="3"/>
        <charset val="129"/>
      </rPr>
      <t xml:space="preserve">원
                  </t>
    </r>
    <r>
      <rPr>
        <sz val="12"/>
        <color rgb="FF000000"/>
        <rFont val="맑은 고딕"/>
        <family val="3"/>
        <charset val="129"/>
      </rPr>
      <t>2025년 예산 총액</t>
    </r>
    <r>
      <rPr>
        <b/>
        <sz val="12"/>
        <color rgb="FF000000"/>
        <rFont val="맑은 고딕"/>
        <family val="3"/>
        <charset val="129"/>
      </rPr>
      <t xml:space="preserve"> </t>
    </r>
    <r>
      <rPr>
        <b/>
        <u/>
        <sz val="12"/>
        <color rgb="FF000000"/>
        <rFont val="맑은 고딕"/>
        <family val="3"/>
        <charset val="129"/>
      </rPr>
      <t>378,285,997</t>
    </r>
    <r>
      <rPr>
        <b/>
        <sz val="12"/>
        <color rgb="FF000000"/>
        <rFont val="맑은 고딕"/>
        <family val="3"/>
        <charset val="129"/>
      </rPr>
      <t>원</t>
    </r>
    <r>
      <rPr>
        <sz val="12"/>
        <color rgb="FF000000"/>
        <rFont val="맑은 고딕"/>
        <family val="3"/>
        <charset val="129"/>
      </rPr>
      <t xml:space="preserve"> 대비 241.1% 증가</t>
    </r>
    <phoneticPr fontId="25" type="noConversion"/>
  </si>
  <si>
    <t>목적사업준비금에서 전입  95,272,000원
은학의집 시설충당 잔여적립금 특별회계 1,100,000,000원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</si>
</sst>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  <numFmt numFmtId="180" formatCode="_-#,##0_-;[Red]\-#,##0_-;_-* &quot;-&quot;_-"/>
    <numFmt numFmtId="181" formatCode="#,##0_ ;[Red]\-#,##0\ "/>
    <numFmt numFmtId="182" formatCode="0.0%\ "/>
  </numFmts>
  <fonts count="66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1"/>
      <color rgb="FF000000"/>
      <name val="나눔고딕"/>
      <family val="3"/>
      <charset val="129"/>
    </font>
    <font>
      <b/>
      <u/>
      <sz val="22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u/>
      <sz val="14"/>
      <color rgb="FF000000"/>
      <name val="맑은 고딕"/>
      <family val="3"/>
      <charset val="129"/>
    </font>
    <font>
      <b/>
      <u/>
      <sz val="14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11"/>
      <color rgb="FF000000"/>
      <name val="맑은 고딕"/>
      <family val="3"/>
      <charset val="129"/>
    </font>
    <font>
      <b/>
      <u/>
      <sz val="12"/>
      <color rgb="FF000000"/>
      <name val="맑은 고딕"/>
      <family val="3"/>
      <charset val="129"/>
    </font>
    <font>
      <u/>
      <sz val="12"/>
      <color rgb="FF000000"/>
      <name val="맑은 고딕"/>
      <family val="3"/>
      <charset val="129"/>
    </font>
    <font>
      <b/>
      <u/>
      <sz val="22"/>
      <color rgb="FF2F5597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Malgun Gothic"/>
      <family val="3"/>
      <charset val="129"/>
    </font>
    <font>
      <sz val="8"/>
      <name val="돋움"/>
      <family val="3"/>
      <charset val="129"/>
    </font>
    <font>
      <sz val="11"/>
      <color rgb="FF000000"/>
      <name val="Malgun Gothic"/>
      <family val="3"/>
      <charset val="129"/>
    </font>
    <font>
      <sz val="8"/>
      <name val="Arial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0"/>
      <color rgb="FF000000"/>
      <name val="나눔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Malgun Gothic"/>
      <family val="3"/>
      <charset val="129"/>
    </font>
    <font>
      <sz val="12"/>
      <color theme="1"/>
      <name val="Malgun Gothic"/>
      <family val="3"/>
      <charset val="129"/>
    </font>
    <font>
      <sz val="11"/>
      <color theme="1"/>
      <name val="맑은 고딕"/>
      <family val="2"/>
      <scheme val="minor"/>
    </font>
    <font>
      <b/>
      <u/>
      <sz val="20"/>
      <color theme="1"/>
      <name val="Malgun Gothic"/>
      <family val="3"/>
      <charset val="129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sz val="12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sz val="10"/>
      <color theme="1"/>
      <name val="Malgun Gothic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4F4F4"/>
        <bgColor rgb="FFF4F4F4"/>
      </patternFill>
    </fill>
  </fills>
  <borders count="2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/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2">
    <xf numFmtId="0" fontId="0" fillId="0" borderId="0">
      <alignment vertical="center"/>
    </xf>
    <xf numFmtId="41" fontId="23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41" fontId="23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5" fillId="0" borderId="0"/>
  </cellStyleXfs>
  <cellXfs count="233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>
      <alignment vertical="center"/>
    </xf>
    <xf numFmtId="0" fontId="0" fillId="0" borderId="0" xfId="0" applyNumberFormat="1" applyAlignment="1">
      <alignment vertical="center" wrapText="1"/>
    </xf>
    <xf numFmtId="41" fontId="0" fillId="2" borderId="1" xfId="3" applyNumberFormat="1" applyFont="1" applyFill="1" applyBorder="1" applyAlignment="1">
      <alignment horizontal="right" vertical="center" wrapText="1"/>
    </xf>
    <xf numFmtId="176" fontId="0" fillId="2" borderId="2" xfId="3" applyNumberFormat="1" applyFont="1" applyFill="1" applyBorder="1" applyAlignment="1">
      <alignment horizontal="right" vertical="center" wrapText="1"/>
    </xf>
    <xf numFmtId="41" fontId="0" fillId="2" borderId="2" xfId="3" applyNumberFormat="1" applyFont="1" applyFill="1" applyBorder="1" applyAlignment="1">
      <alignment horizontal="right" vertical="center" wrapText="1"/>
    </xf>
    <xf numFmtId="41" fontId="0" fillId="0" borderId="1" xfId="3" applyNumberFormat="1" applyFont="1" applyFill="1" applyBorder="1" applyAlignment="1">
      <alignment horizontal="right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41" fontId="0" fillId="0" borderId="3" xfId="3" applyNumberFormat="1" applyFont="1" applyFill="1" applyBorder="1" applyAlignment="1">
      <alignment horizontal="right" vertical="center" wrapText="1"/>
    </xf>
    <xf numFmtId="176" fontId="0" fillId="0" borderId="4" xfId="1" applyNumberFormat="1" applyFont="1" applyFill="1" applyBorder="1" applyAlignment="1">
      <alignment horizontal="right" vertical="center" wrapText="1"/>
    </xf>
    <xf numFmtId="176" fontId="4" fillId="0" borderId="5" xfId="1" applyNumberFormat="1" applyFont="1" applyFill="1" applyBorder="1" applyAlignment="1">
      <alignment horizontal="right" vertical="center" wrapText="1"/>
    </xf>
    <xf numFmtId="176" fontId="0" fillId="2" borderId="3" xfId="2" applyNumberFormat="1" applyFont="1" applyFill="1" applyBorder="1" applyAlignment="1">
      <alignment horizontal="right"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176" fontId="0" fillId="2" borderId="6" xfId="3" applyNumberFormat="1" applyFont="1" applyFill="1" applyBorder="1" applyAlignment="1">
      <alignment horizontal="right" vertical="center" wrapText="1"/>
    </xf>
    <xf numFmtId="41" fontId="0" fillId="2" borderId="3" xfId="2" applyNumberFormat="1" applyFont="1" applyFill="1" applyBorder="1" applyAlignment="1">
      <alignment horizontal="right" vertical="center" wrapText="1"/>
    </xf>
    <xf numFmtId="41" fontId="0" fillId="2" borderId="3" xfId="3" applyNumberFormat="1" applyFont="1" applyFill="1" applyBorder="1" applyAlignment="1">
      <alignment horizontal="right" vertical="center" wrapText="1"/>
    </xf>
    <xf numFmtId="176" fontId="0" fillId="2" borderId="3" xfId="2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7" xfId="3" applyNumberFormat="1" applyFont="1" applyFill="1" applyBorder="1" applyAlignment="1">
      <alignment horizontal="right" vertical="center" wrapText="1"/>
    </xf>
    <xf numFmtId="41" fontId="0" fillId="2" borderId="8" xfId="2" applyNumberFormat="1" applyFont="1" applyFill="1" applyBorder="1" applyAlignment="1">
      <alignment horizontal="right" vertical="center" wrapText="1"/>
    </xf>
    <xf numFmtId="176" fontId="0" fillId="0" borderId="3" xfId="2" applyNumberFormat="1" applyFont="1" applyFill="1" applyBorder="1" applyAlignment="1">
      <alignment horizontal="right" vertical="center" wrapText="1"/>
    </xf>
    <xf numFmtId="176" fontId="0" fillId="0" borderId="3" xfId="3" applyNumberFormat="1" applyFont="1" applyFill="1" applyBorder="1" applyAlignment="1">
      <alignment horizontal="right" vertical="center" wrapText="1"/>
    </xf>
    <xf numFmtId="176" fontId="4" fillId="2" borderId="2" xfId="3" applyNumberFormat="1" applyFont="1" applyFill="1" applyBorder="1" applyAlignment="1">
      <alignment horizontal="right" vertical="center" wrapText="1"/>
    </xf>
    <xf numFmtId="41" fontId="0" fillId="0" borderId="1" xfId="2" applyNumberFormat="1" applyFont="1" applyFill="1" applyBorder="1" applyAlignment="1">
      <alignment horizontal="right" vertical="center" wrapText="1"/>
    </xf>
    <xf numFmtId="41" fontId="0" fillId="0" borderId="3" xfId="2" applyNumberFormat="1" applyFont="1" applyFill="1" applyBorder="1" applyAlignment="1">
      <alignment horizontal="right" vertical="center" wrapText="1"/>
    </xf>
    <xf numFmtId="176" fontId="0" fillId="2" borderId="8" xfId="2" applyNumberFormat="1" applyFont="1" applyFill="1" applyBorder="1" applyAlignment="1">
      <alignment horizontal="right" vertical="center" wrapText="1"/>
    </xf>
    <xf numFmtId="176" fontId="0" fillId="2" borderId="7" xfId="3" applyNumberFormat="1" applyFont="1" applyFill="1" applyBorder="1" applyAlignment="1">
      <alignment horizontal="right" vertical="center" wrapText="1"/>
    </xf>
    <xf numFmtId="176" fontId="0" fillId="2" borderId="9" xfId="2" applyNumberFormat="1" applyFont="1" applyFill="1" applyBorder="1" applyAlignment="1">
      <alignment horizontal="right" vertical="center" wrapText="1"/>
    </xf>
    <xf numFmtId="176" fontId="4" fillId="0" borderId="1" xfId="3" applyNumberFormat="1" applyFont="1" applyFill="1" applyBorder="1" applyAlignment="1">
      <alignment horizontal="right" vertical="center" wrapText="1"/>
    </xf>
    <xf numFmtId="176" fontId="4" fillId="2" borderId="8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176" fontId="0" fillId="2" borderId="2" xfId="3" applyNumberFormat="1" applyFont="1" applyFill="1" applyBorder="1" applyAlignment="1">
      <alignment horizontal="right" vertical="center" wrapText="1"/>
    </xf>
    <xf numFmtId="41" fontId="0" fillId="2" borderId="1" xfId="2" applyNumberFormat="1" applyFont="1" applyFill="1" applyBorder="1" applyAlignment="1">
      <alignment horizontal="right" vertical="center" wrapText="1"/>
    </xf>
    <xf numFmtId="41" fontId="0" fillId="2" borderId="1" xfId="2" applyNumberFormat="1" applyFont="1" applyFill="1" applyBorder="1" applyAlignment="1">
      <alignment horizontal="right" vertical="center" wrapText="1"/>
    </xf>
    <xf numFmtId="176" fontId="4" fillId="2" borderId="1" xfId="3" applyNumberFormat="1" applyFont="1" applyFill="1" applyBorder="1" applyAlignment="1">
      <alignment horizontal="right" vertical="center" wrapText="1"/>
    </xf>
    <xf numFmtId="176" fontId="4" fillId="2" borderId="1" xfId="2" applyNumberFormat="1" applyFont="1" applyFill="1" applyBorder="1" applyAlignment="1">
      <alignment horizontal="right" vertical="center" wrapText="1"/>
    </xf>
    <xf numFmtId="0" fontId="0" fillId="3" borderId="0" xfId="0" applyNumberFormat="1" applyFill="1">
      <alignment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>
      <alignment vertical="center"/>
    </xf>
    <xf numFmtId="176" fontId="0" fillId="2" borderId="4" xfId="0" applyNumberFormat="1" applyFont="1" applyFill="1" applyBorder="1" applyAlignment="1">
      <alignment horizontal="right" vertical="center"/>
    </xf>
    <xf numFmtId="41" fontId="0" fillId="2" borderId="4" xfId="0" applyNumberFormat="1" applyFont="1" applyFill="1" applyBorder="1" applyAlignment="1">
      <alignment horizontal="right" vertical="center"/>
    </xf>
    <xf numFmtId="176" fontId="0" fillId="2" borderId="5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41" fontId="0" fillId="2" borderId="5" xfId="0" applyNumberFormat="1" applyFont="1" applyFill="1" applyBorder="1" applyAlignment="1">
      <alignment horizontal="right" vertical="center"/>
    </xf>
    <xf numFmtId="41" fontId="0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0" fillId="2" borderId="11" xfId="0" applyNumberFormat="1" applyFont="1" applyFill="1" applyBorder="1" applyAlignment="1">
      <alignment horizontal="right" vertical="center"/>
    </xf>
    <xf numFmtId="176" fontId="0" fillId="2" borderId="12" xfId="0" applyNumberFormat="1" applyFont="1" applyFill="1" applyBorder="1" applyAlignment="1">
      <alignment horizontal="right" vertical="center"/>
    </xf>
    <xf numFmtId="176" fontId="0" fillId="2" borderId="3" xfId="0" applyNumberFormat="1" applyFont="1" applyFill="1" applyBorder="1" applyAlignment="1">
      <alignment horizontal="right" vertical="center"/>
    </xf>
    <xf numFmtId="41" fontId="0" fillId="2" borderId="9" xfId="3" applyNumberFormat="1" applyFont="1" applyFill="1" applyBorder="1" applyAlignment="1">
      <alignment horizontal="right" vertical="center" wrapText="1"/>
    </xf>
    <xf numFmtId="41" fontId="0" fillId="2" borderId="3" xfId="3" applyNumberFormat="1" applyFont="1" applyFill="1" applyBorder="1" applyAlignment="1">
      <alignment horizontal="right" vertical="center" wrapText="1"/>
    </xf>
    <xf numFmtId="176" fontId="0" fillId="2" borderId="1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41" fontId="0" fillId="2" borderId="2" xfId="3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>
      <alignment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177" fontId="0" fillId="2" borderId="15" xfId="3" applyNumberFormat="1" applyFont="1" applyFill="1" applyBorder="1" applyAlignment="1">
      <alignment horizontal="right" vertical="center" wrapText="1"/>
    </xf>
    <xf numFmtId="177" fontId="0" fillId="2" borderId="0" xfId="0" applyNumberFormat="1" applyFont="1" applyFill="1">
      <alignment vertical="center"/>
    </xf>
    <xf numFmtId="177" fontId="0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4" fillId="2" borderId="8" xfId="2" applyNumberFormat="1" applyFont="1" applyFill="1" applyBorder="1" applyAlignment="1">
      <alignment horizontal="right" vertical="center" wrapText="1"/>
    </xf>
    <xf numFmtId="41" fontId="4" fillId="2" borderId="7" xfId="3" applyNumberFormat="1" applyFont="1" applyFill="1" applyBorder="1" applyAlignment="1">
      <alignment horizontal="right" vertical="center" wrapText="1"/>
    </xf>
    <xf numFmtId="41" fontId="4" fillId="4" borderId="16" xfId="3" applyNumberFormat="1" applyFont="1" applyFill="1" applyBorder="1" applyAlignment="1">
      <alignment horizontal="right" vertical="center" wrapText="1"/>
    </xf>
    <xf numFmtId="0" fontId="5" fillId="5" borderId="17" xfId="2" applyNumberFormat="1" applyFont="1" applyFill="1" applyBorder="1" applyAlignment="1">
      <alignment horizontal="center" vertical="center" wrapText="1"/>
    </xf>
    <xf numFmtId="0" fontId="5" fillId="5" borderId="8" xfId="2" applyNumberFormat="1" applyFont="1" applyFill="1" applyBorder="1" applyAlignment="1">
      <alignment horizontal="center" vertical="center" wrapText="1"/>
    </xf>
    <xf numFmtId="0" fontId="0" fillId="0" borderId="6" xfId="0" applyNumberFormat="1" applyBorder="1">
      <alignment vertical="center"/>
    </xf>
    <xf numFmtId="0" fontId="0" fillId="2" borderId="18" xfId="0" applyNumberFormat="1" applyFont="1" applyFill="1" applyBorder="1" applyAlignment="1">
      <alignment horizontal="center" vertical="center"/>
    </xf>
    <xf numFmtId="41" fontId="0" fillId="2" borderId="19" xfId="0" applyNumberFormat="1" applyFont="1" applyFill="1" applyBorder="1" applyAlignment="1">
      <alignment horizontal="right" vertical="center"/>
    </xf>
    <xf numFmtId="41" fontId="0" fillId="2" borderId="3" xfId="0" applyNumberFormat="1" applyFont="1" applyFill="1" applyBorder="1" applyAlignment="1">
      <alignment horizontal="right" vertical="center"/>
    </xf>
    <xf numFmtId="41" fontId="0" fillId="2" borderId="20" xfId="0" applyNumberFormat="1" applyFont="1" applyFill="1" applyBorder="1" applyAlignment="1">
      <alignment horizontal="right" vertical="center"/>
    </xf>
    <xf numFmtId="41" fontId="0" fillId="2" borderId="9" xfId="0" applyNumberFormat="1" applyFont="1" applyFill="1" applyBorder="1" applyAlignment="1">
      <alignment horizontal="right" vertical="center"/>
    </xf>
    <xf numFmtId="176" fontId="0" fillId="2" borderId="1" xfId="0" applyNumberFormat="1" applyFont="1" applyFill="1" applyBorder="1" applyAlignment="1">
      <alignment horizontal="right" vertical="center"/>
    </xf>
    <xf numFmtId="41" fontId="0" fillId="2" borderId="1" xfId="0" applyNumberFormat="1" applyFont="1" applyFill="1" applyBorder="1" applyAlignment="1">
      <alignment horizontal="right" vertical="center"/>
    </xf>
    <xf numFmtId="41" fontId="0" fillId="2" borderId="8" xfId="0" applyNumberFormat="1" applyFont="1" applyFill="1" applyBorder="1" applyAlignment="1">
      <alignment horizontal="right" vertical="center"/>
    </xf>
    <xf numFmtId="176" fontId="4" fillId="2" borderId="22" xfId="0" applyNumberFormat="1" applyFont="1" applyFill="1" applyBorder="1" applyAlignment="1">
      <alignment horizontal="right" vertical="center"/>
    </xf>
    <xf numFmtId="176" fontId="0" fillId="2" borderId="24" xfId="0" applyNumberFormat="1" applyFont="1" applyFill="1" applyBorder="1" applyAlignment="1">
      <alignment horizontal="right" vertical="center"/>
    </xf>
    <xf numFmtId="176" fontId="0" fillId="2" borderId="19" xfId="0" applyNumberFormat="1" applyFont="1" applyFill="1" applyBorder="1" applyAlignment="1">
      <alignment horizontal="right" vertical="center"/>
    </xf>
    <xf numFmtId="176" fontId="4" fillId="5" borderId="16" xfId="0" applyNumberFormat="1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0" fillId="2" borderId="7" xfId="0" applyNumberFormat="1" applyFont="1" applyFill="1" applyBorder="1" applyAlignment="1">
      <alignment horizontal="right" vertical="center"/>
    </xf>
    <xf numFmtId="176" fontId="4" fillId="2" borderId="25" xfId="0" applyNumberFormat="1" applyFont="1" applyFill="1" applyBorder="1" applyAlignment="1">
      <alignment horizontal="right" vertical="center"/>
    </xf>
    <xf numFmtId="176" fontId="0" fillId="2" borderId="6" xfId="0" applyNumberFormat="1" applyFont="1" applyFill="1" applyBorder="1" applyAlignment="1">
      <alignment horizontal="right" vertical="center"/>
    </xf>
    <xf numFmtId="0" fontId="4" fillId="5" borderId="26" xfId="0" applyNumberFormat="1" applyFont="1" applyFill="1" applyBorder="1" applyAlignment="1">
      <alignment horizontal="center" vertical="center"/>
    </xf>
    <xf numFmtId="176" fontId="4" fillId="5" borderId="8" xfId="2" applyNumberFormat="1" applyFont="1" applyFill="1" applyBorder="1" applyAlignment="1">
      <alignment horizontal="center" vertical="center" wrapText="1"/>
    </xf>
    <xf numFmtId="176" fontId="0" fillId="2" borderId="27" xfId="2" applyNumberFormat="1" applyFont="1" applyFill="1" applyBorder="1" applyAlignment="1">
      <alignment horizontal="right" vertical="center" wrapText="1"/>
    </xf>
    <xf numFmtId="176" fontId="4" fillId="2" borderId="28" xfId="3" applyNumberFormat="1" applyFont="1" applyFill="1" applyBorder="1" applyAlignment="1">
      <alignment horizontal="right" vertical="center" wrapText="1"/>
    </xf>
    <xf numFmtId="176" fontId="0" fillId="2" borderId="1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176" fontId="4" fillId="2" borderId="1" xfId="2" applyNumberFormat="1" applyFont="1" applyFill="1" applyBorder="1" applyAlignment="1">
      <alignment horizontal="right" vertical="center" wrapText="1"/>
    </xf>
    <xf numFmtId="41" fontId="0" fillId="2" borderId="8" xfId="3" applyNumberFormat="1" applyFont="1" applyFill="1" applyBorder="1" applyAlignment="1">
      <alignment horizontal="right" vertical="center" wrapText="1"/>
    </xf>
    <xf numFmtId="41" fontId="0" fillId="2" borderId="7" xfId="3" applyNumberFormat="1" applyFont="1" applyFill="1" applyBorder="1" applyAlignment="1">
      <alignment horizontal="right" vertical="center" wrapText="1"/>
    </xf>
    <xf numFmtId="176" fontId="0" fillId="0" borderId="19" xfId="1" applyNumberFormat="1" applyFont="1" applyFill="1" applyBorder="1" applyAlignment="1">
      <alignment horizontal="right" vertical="center" wrapText="1"/>
    </xf>
    <xf numFmtId="41" fontId="0" fillId="0" borderId="3" xfId="1" applyNumberFormat="1" applyFont="1" applyFill="1" applyBorder="1" applyAlignment="1">
      <alignment horizontal="right" vertical="center" wrapText="1"/>
    </xf>
    <xf numFmtId="176" fontId="0" fillId="0" borderId="3" xfId="1" applyNumberFormat="1" applyFont="1" applyFill="1" applyBorder="1" applyAlignment="1">
      <alignment horizontal="right" vertical="center" wrapText="1"/>
    </xf>
    <xf numFmtId="0" fontId="4" fillId="5" borderId="29" xfId="2" applyNumberFormat="1" applyFont="1" applyFill="1" applyBorder="1" applyAlignment="1">
      <alignment horizontal="center" vertical="center" wrapText="1"/>
    </xf>
    <xf numFmtId="0" fontId="4" fillId="5" borderId="30" xfId="2" applyNumberFormat="1" applyFont="1" applyFill="1" applyBorder="1" applyAlignment="1">
      <alignment horizontal="center" vertical="center" wrapText="1"/>
    </xf>
    <xf numFmtId="41" fontId="0" fillId="0" borderId="8" xfId="2" applyNumberFormat="1" applyFont="1" applyFill="1" applyBorder="1" applyAlignment="1">
      <alignment horizontal="right" vertical="center" wrapText="1"/>
    </xf>
    <xf numFmtId="176" fontId="0" fillId="0" borderId="8" xfId="3" applyNumberFormat="1" applyFont="1" applyFill="1" applyBorder="1" applyAlignment="1">
      <alignment horizontal="right" vertical="center" wrapText="1"/>
    </xf>
    <xf numFmtId="41" fontId="0" fillId="0" borderId="8" xfId="3" applyNumberFormat="1" applyFont="1" applyFill="1" applyBorder="1" applyAlignment="1">
      <alignment horizontal="right" vertical="center" wrapText="1"/>
    </xf>
    <xf numFmtId="176" fontId="0" fillId="0" borderId="8" xfId="1" applyNumberFormat="1" applyFont="1" applyFill="1" applyBorder="1" applyAlignment="1">
      <alignment horizontal="right" vertical="center" wrapText="1"/>
    </xf>
    <xf numFmtId="41" fontId="4" fillId="0" borderId="8" xfId="1" applyNumberFormat="1" applyFont="1" applyFill="1" applyBorder="1" applyAlignment="1">
      <alignment horizontal="right" vertical="center" wrapText="1"/>
    </xf>
    <xf numFmtId="176" fontId="4" fillId="0" borderId="8" xfId="1" applyNumberFormat="1" applyFont="1" applyFill="1" applyBorder="1" applyAlignment="1">
      <alignment horizontal="right" vertical="center" wrapText="1"/>
    </xf>
    <xf numFmtId="176" fontId="4" fillId="5" borderId="31" xfId="1" applyNumberFormat="1" applyFont="1" applyFill="1" applyBorder="1" applyAlignment="1">
      <alignment horizontal="right" vertical="center" wrapText="1"/>
    </xf>
    <xf numFmtId="176" fontId="4" fillId="5" borderId="16" xfId="1" applyNumberFormat="1" applyFont="1" applyFill="1" applyBorder="1" applyAlignment="1">
      <alignment horizontal="right" vertical="center" wrapText="1"/>
    </xf>
    <xf numFmtId="0" fontId="4" fillId="2" borderId="18" xfId="0" applyNumberFormat="1" applyFont="1" applyFill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right" vertical="center" wrapText="1"/>
    </xf>
    <xf numFmtId="41" fontId="0" fillId="0" borderId="9" xfId="1" applyNumberFormat="1" applyFont="1" applyFill="1" applyBorder="1" applyAlignment="1">
      <alignment horizontal="right" vertical="center" wrapText="1"/>
    </xf>
    <xf numFmtId="176" fontId="4" fillId="5" borderId="30" xfId="2" applyNumberFormat="1" applyFont="1" applyFill="1" applyBorder="1" applyAlignment="1">
      <alignment horizontal="center" vertical="center" wrapText="1"/>
    </xf>
    <xf numFmtId="176" fontId="4" fillId="5" borderId="29" xfId="2" applyNumberFormat="1" applyFont="1" applyFill="1" applyBorder="1" applyAlignment="1">
      <alignment horizontal="center" vertical="center" wrapText="1"/>
    </xf>
    <xf numFmtId="176" fontId="0" fillId="0" borderId="9" xfId="2" applyNumberFormat="1" applyFont="1" applyFill="1" applyBorder="1" applyAlignment="1">
      <alignment horizontal="right" vertical="center" wrapText="1"/>
    </xf>
    <xf numFmtId="176" fontId="0" fillId="0" borderId="9" xfId="3" applyNumberFormat="1" applyFont="1" applyFill="1" applyBorder="1" applyAlignment="1">
      <alignment horizontal="right" vertical="center" wrapText="1"/>
    </xf>
    <xf numFmtId="176" fontId="4" fillId="2" borderId="9" xfId="2" applyNumberFormat="1" applyFont="1" applyFill="1" applyBorder="1" applyAlignment="1">
      <alignment horizontal="right" vertical="center" wrapText="1"/>
    </xf>
    <xf numFmtId="41" fontId="0" fillId="0" borderId="9" xfId="2" applyNumberFormat="1" applyFont="1" applyFill="1" applyBorder="1" applyAlignment="1">
      <alignment horizontal="right" vertical="center" wrapText="1"/>
    </xf>
    <xf numFmtId="41" fontId="0" fillId="0" borderId="9" xfId="3" applyNumberFormat="1" applyFont="1" applyFill="1" applyBorder="1" applyAlignment="1">
      <alignment horizontal="right" vertical="center" wrapText="1"/>
    </xf>
    <xf numFmtId="176" fontId="0" fillId="2" borderId="8" xfId="2" applyNumberFormat="1" applyFont="1" applyFill="1" applyBorder="1" applyAlignment="1">
      <alignment horizontal="right" vertical="center" wrapText="1"/>
    </xf>
    <xf numFmtId="176" fontId="4" fillId="2" borderId="27" xfId="2" applyNumberFormat="1" applyFont="1" applyFill="1" applyBorder="1" applyAlignment="1">
      <alignment horizontal="right" vertical="center" wrapText="1"/>
    </xf>
    <xf numFmtId="176" fontId="0" fillId="0" borderId="8" xfId="2" applyNumberFormat="1" applyFont="1" applyFill="1" applyBorder="1" applyAlignment="1">
      <alignment horizontal="right" vertical="center" wrapText="1"/>
    </xf>
    <xf numFmtId="176" fontId="0" fillId="0" borderId="1" xfId="2" applyNumberFormat="1" applyFont="1" applyFill="1" applyBorder="1" applyAlignment="1">
      <alignment horizontal="right" vertical="center" wrapText="1"/>
    </xf>
    <xf numFmtId="176" fontId="0" fillId="0" borderId="1" xfId="3" applyNumberFormat="1" applyFont="1" applyFill="1" applyBorder="1" applyAlignment="1">
      <alignment horizontal="right" vertical="center" wrapText="1"/>
    </xf>
    <xf numFmtId="176" fontId="4" fillId="0" borderId="9" xfId="2" applyNumberFormat="1" applyFont="1" applyFill="1" applyBorder="1" applyAlignment="1">
      <alignment horizontal="right" vertical="center" wrapText="1"/>
    </xf>
    <xf numFmtId="176" fontId="4" fillId="0" borderId="27" xfId="2" applyNumberFormat="1" applyFont="1" applyFill="1" applyBorder="1" applyAlignment="1">
      <alignment horizontal="right" vertical="center" wrapText="1"/>
    </xf>
    <xf numFmtId="176" fontId="0" fillId="2" borderId="8" xfId="3" applyNumberFormat="1" applyFont="1" applyFill="1" applyBorder="1" applyAlignment="1">
      <alignment horizontal="right" vertical="center" wrapText="1"/>
    </xf>
    <xf numFmtId="41" fontId="7" fillId="2" borderId="9" xfId="1" applyNumberFormat="1" applyFont="1" applyFill="1" applyBorder="1" applyAlignment="1">
      <alignment horizontal="right" vertical="center"/>
    </xf>
    <xf numFmtId="41" fontId="0" fillId="2" borderId="3" xfId="2" applyNumberFormat="1" applyFont="1" applyFill="1" applyBorder="1" applyAlignment="1">
      <alignment horizontal="right" vertical="center" wrapText="1"/>
    </xf>
    <xf numFmtId="41" fontId="0" fillId="2" borderId="12" xfId="2" applyNumberFormat="1" applyFont="1" applyFill="1" applyBorder="1" applyAlignment="1">
      <alignment horizontal="right" vertical="center" wrapText="1"/>
    </xf>
    <xf numFmtId="41" fontId="0" fillId="2" borderId="36" xfId="2" applyNumberFormat="1" applyFont="1" applyFill="1" applyBorder="1" applyAlignment="1">
      <alignment horizontal="right" vertical="center" wrapText="1"/>
    </xf>
    <xf numFmtId="41" fontId="0" fillId="2" borderId="9" xfId="2" applyNumberFormat="1" applyFont="1" applyFill="1" applyBorder="1" applyAlignment="1">
      <alignment horizontal="right" vertical="center" wrapText="1"/>
    </xf>
    <xf numFmtId="41" fontId="0" fillId="2" borderId="8" xfId="2" applyNumberFormat="1" applyFont="1" applyFill="1" applyBorder="1" applyAlignment="1">
      <alignment horizontal="right" vertical="center" wrapText="1"/>
    </xf>
    <xf numFmtId="41" fontId="4" fillId="2" borderId="7" xfId="3" applyNumberFormat="1" applyFont="1" applyFill="1" applyBorder="1" applyAlignment="1">
      <alignment vertical="center" wrapText="1"/>
    </xf>
    <xf numFmtId="41" fontId="0" fillId="2" borderId="6" xfId="3" applyNumberFormat="1" applyFont="1" applyFill="1" applyBorder="1" applyAlignment="1">
      <alignment vertical="center" wrapText="1"/>
    </xf>
    <xf numFmtId="0" fontId="0" fillId="6" borderId="37" xfId="0" applyNumberFormat="1" applyFont="1" applyFill="1" applyBorder="1" applyAlignment="1">
      <alignment horizontal="left" vertical="center" wrapText="1"/>
    </xf>
    <xf numFmtId="0" fontId="0" fillId="6" borderId="37" xfId="0" applyNumberFormat="1" applyFont="1" applyFill="1" applyBorder="1" applyAlignment="1">
      <alignment vertical="center" wrapText="1"/>
    </xf>
    <xf numFmtId="0" fontId="0" fillId="6" borderId="37" xfId="0" applyNumberFormat="1" applyFont="1" applyFill="1" applyBorder="1" applyAlignment="1">
      <alignment vertical="center" wrapText="1"/>
    </xf>
    <xf numFmtId="0" fontId="0" fillId="6" borderId="38" xfId="0" applyNumberFormat="1" applyFont="1" applyFill="1" applyBorder="1" applyAlignment="1">
      <alignment vertical="center" wrapText="1"/>
    </xf>
    <xf numFmtId="176" fontId="4" fillId="2" borderId="30" xfId="2" applyNumberFormat="1" applyFont="1" applyFill="1" applyBorder="1" applyAlignment="1">
      <alignment horizontal="right" vertical="center" wrapText="1"/>
    </xf>
    <xf numFmtId="41" fontId="4" fillId="2" borderId="39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40" xfId="2" applyNumberFormat="1" applyFont="1" applyFill="1" applyBorder="1" applyAlignment="1">
      <alignment vertical="center" wrapText="1"/>
    </xf>
    <xf numFmtId="177" fontId="0" fillId="2" borderId="41" xfId="0" applyNumberFormat="1" applyFont="1" applyFill="1" applyBorder="1" applyAlignment="1">
      <alignment horizontal="right" vertical="center"/>
    </xf>
    <xf numFmtId="41" fontId="0" fillId="2" borderId="30" xfId="0" applyNumberFormat="1" applyFont="1" applyFill="1" applyBorder="1" applyAlignment="1">
      <alignment horizontal="right" vertical="center"/>
    </xf>
    <xf numFmtId="41" fontId="0" fillId="2" borderId="42" xfId="0" applyNumberFormat="1" applyFont="1" applyFill="1" applyBorder="1" applyAlignment="1">
      <alignment horizontal="right" vertical="center"/>
    </xf>
    <xf numFmtId="176" fontId="0" fillId="2" borderId="39" xfId="0" applyNumberFormat="1" applyFont="1" applyFill="1" applyBorder="1" applyAlignment="1">
      <alignment horizontal="right" vertical="center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vertical="center"/>
    </xf>
    <xf numFmtId="177" fontId="0" fillId="0" borderId="3" xfId="3" applyNumberFormat="1" applyFont="1" applyFill="1" applyBorder="1" applyAlignment="1">
      <alignment horizontal="right" vertical="center" wrapText="1"/>
    </xf>
    <xf numFmtId="176" fontId="0" fillId="0" borderId="42" xfId="1" applyNumberFormat="1" applyFont="1" applyFill="1" applyBorder="1" applyAlignment="1">
      <alignment horizontal="right" vertical="center" wrapText="1"/>
    </xf>
    <xf numFmtId="41" fontId="0" fillId="0" borderId="30" xfId="3" applyNumberFormat="1" applyFont="1" applyFill="1" applyBorder="1" applyAlignment="1">
      <alignment horizontal="right" vertical="center" wrapText="1"/>
    </xf>
    <xf numFmtId="177" fontId="0" fillId="0" borderId="30" xfId="3" applyNumberFormat="1" applyFont="1" applyFill="1" applyBorder="1" applyAlignment="1">
      <alignment horizontal="right" vertical="center" wrapText="1"/>
    </xf>
    <xf numFmtId="176" fontId="4" fillId="0" borderId="24" xfId="1" applyNumberFormat="1" applyFont="1" applyFill="1" applyBorder="1" applyAlignment="1">
      <alignment horizontal="right" vertical="center" wrapText="1"/>
    </xf>
    <xf numFmtId="41" fontId="0" fillId="5" borderId="13" xfId="3" applyNumberFormat="1" applyFont="1" applyFill="1" applyBorder="1" applyAlignment="1">
      <alignment horizontal="right" vertical="center" wrapText="1"/>
    </xf>
    <xf numFmtId="177" fontId="0" fillId="5" borderId="13" xfId="3" applyNumberFormat="1" applyFont="1" applyFill="1" applyBorder="1" applyAlignment="1">
      <alignment horizontal="right" vertical="center" wrapText="1"/>
    </xf>
    <xf numFmtId="177" fontId="0" fillId="2" borderId="46" xfId="3" applyNumberFormat="1" applyFont="1" applyFill="1" applyBorder="1" applyAlignment="1">
      <alignment horizontal="right" vertical="center" wrapText="1"/>
    </xf>
    <xf numFmtId="176" fontId="4" fillId="5" borderId="13" xfId="2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0" fillId="5" borderId="13" xfId="3" applyNumberFormat="1" applyFont="1" applyFill="1" applyBorder="1" applyAlignment="1">
      <alignment horizontal="right" vertical="center" wrapText="1"/>
    </xf>
    <xf numFmtId="177" fontId="0" fillId="5" borderId="47" xfId="3" applyNumberFormat="1" applyFont="1" applyFill="1" applyBorder="1" applyAlignment="1">
      <alignment horizontal="right" vertical="center" wrapText="1"/>
    </xf>
    <xf numFmtId="176" fontId="0" fillId="0" borderId="23" xfId="1" applyNumberFormat="1" applyFont="1" applyFill="1" applyBorder="1" applyAlignment="1">
      <alignment horizontal="right" vertical="center" wrapText="1"/>
    </xf>
    <xf numFmtId="177" fontId="0" fillId="0" borderId="9" xfId="3" applyNumberFormat="1" applyFont="1" applyFill="1" applyBorder="1" applyAlignment="1">
      <alignment horizontal="right" vertical="center" wrapText="1"/>
    </xf>
    <xf numFmtId="177" fontId="0" fillId="0" borderId="8" xfId="3" applyNumberFormat="1" applyFont="1" applyFill="1" applyBorder="1" applyAlignment="1">
      <alignment horizontal="right" vertical="center" wrapText="1"/>
    </xf>
    <xf numFmtId="41" fontId="0" fillId="0" borderId="27" xfId="2" applyNumberFormat="1" applyFont="1" applyFill="1" applyBorder="1" applyAlignment="1">
      <alignment horizontal="right" vertical="center" wrapText="1"/>
    </xf>
    <xf numFmtId="176" fontId="0" fillId="0" borderId="27" xfId="3" applyNumberFormat="1" applyFont="1" applyFill="1" applyBorder="1" applyAlignment="1">
      <alignment horizontal="right" vertical="center" wrapText="1"/>
    </xf>
    <xf numFmtId="0" fontId="0" fillId="0" borderId="0" xfId="0" applyNumberFormat="1" applyBorder="1">
      <alignment vertical="center"/>
    </xf>
    <xf numFmtId="0" fontId="0" fillId="2" borderId="3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vertical="top"/>
    </xf>
    <xf numFmtId="0" fontId="0" fillId="2" borderId="1" xfId="0" applyNumberFormat="1" applyFont="1" applyFill="1" applyBorder="1" applyAlignment="1">
      <alignment vertical="top" wrapText="1"/>
    </xf>
    <xf numFmtId="0" fontId="0" fillId="2" borderId="48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41" fontId="0" fillId="2" borderId="12" xfId="0" applyNumberFormat="1" applyFont="1" applyFill="1" applyBorder="1" applyAlignment="1">
      <alignment horizontal="right" vertical="center"/>
    </xf>
    <xf numFmtId="41" fontId="0" fillId="2" borderId="51" xfId="0" applyNumberFormat="1" applyFont="1" applyFill="1" applyBorder="1" applyAlignment="1">
      <alignment horizontal="right" vertical="center"/>
    </xf>
    <xf numFmtId="0" fontId="4" fillId="2" borderId="52" xfId="0" applyNumberFormat="1" applyFont="1" applyFill="1" applyBorder="1" applyAlignment="1">
      <alignment vertical="center"/>
    </xf>
    <xf numFmtId="41" fontId="0" fillId="2" borderId="53" xfId="0" applyNumberFormat="1" applyFont="1" applyFill="1" applyBorder="1" applyAlignment="1">
      <alignment horizontal="right" vertical="center"/>
    </xf>
    <xf numFmtId="41" fontId="0" fillId="2" borderId="54" xfId="0" applyNumberFormat="1" applyFont="1" applyFill="1" applyBorder="1" applyAlignment="1">
      <alignment horizontal="right" vertical="center"/>
    </xf>
    <xf numFmtId="0" fontId="7" fillId="2" borderId="3" xfId="4" applyNumberFormat="1" applyFont="1" applyFill="1" applyBorder="1" applyAlignment="1">
      <alignment vertical="center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49" xfId="0" applyNumberFormat="1" applyFont="1" applyFill="1" applyBorder="1" applyAlignment="1">
      <alignment horizontal="left" vertical="top" wrapText="1"/>
    </xf>
    <xf numFmtId="176" fontId="0" fillId="0" borderId="3" xfId="2" applyNumberFormat="1" applyFont="1" applyFill="1" applyBorder="1" applyAlignment="1">
      <alignment horizontal="left" vertical="top" wrapText="1"/>
    </xf>
    <xf numFmtId="176" fontId="0" fillId="0" borderId="1" xfId="2" applyNumberFormat="1" applyFont="1" applyFill="1" applyBorder="1" applyAlignment="1">
      <alignment vertical="top" wrapText="1"/>
    </xf>
    <xf numFmtId="176" fontId="0" fillId="0" borderId="3" xfId="2" applyNumberFormat="1" applyFont="1" applyFill="1" applyBorder="1" applyAlignment="1">
      <alignment vertical="top" wrapText="1"/>
    </xf>
    <xf numFmtId="176" fontId="0" fillId="2" borderId="1" xfId="2" applyNumberFormat="1" applyFont="1" applyFill="1" applyBorder="1" applyAlignment="1">
      <alignment vertical="top" wrapText="1"/>
    </xf>
    <xf numFmtId="176" fontId="0" fillId="2" borderId="3" xfId="2" applyNumberFormat="1" applyFont="1" applyFill="1" applyBorder="1" applyAlignment="1">
      <alignment vertical="top" wrapText="1"/>
    </xf>
    <xf numFmtId="176" fontId="0" fillId="2" borderId="9" xfId="2" applyNumberFormat="1" applyFont="1" applyFill="1" applyBorder="1" applyAlignment="1">
      <alignment vertical="top" wrapText="1"/>
    </xf>
    <xf numFmtId="176" fontId="0" fillId="2" borderId="57" xfId="2" applyNumberFormat="1" applyFont="1" applyFill="1" applyBorder="1" applyAlignment="1">
      <alignment vertical="top" wrapText="1"/>
    </xf>
    <xf numFmtId="176" fontId="0" fillId="0" borderId="57" xfId="2" applyNumberFormat="1" applyFont="1" applyFill="1" applyBorder="1" applyAlignment="1">
      <alignment vertical="top" wrapText="1"/>
    </xf>
    <xf numFmtId="176" fontId="0" fillId="2" borderId="1" xfId="2" applyNumberFormat="1" applyFont="1" applyFill="1" applyBorder="1" applyAlignment="1">
      <alignment vertical="top" wrapText="1"/>
    </xf>
    <xf numFmtId="0" fontId="0" fillId="2" borderId="58" xfId="2" applyNumberFormat="1" applyFont="1" applyFill="1" applyBorder="1" applyAlignment="1">
      <alignment vertical="top" wrapText="1"/>
    </xf>
    <xf numFmtId="176" fontId="0" fillId="0" borderId="6" xfId="3" applyNumberFormat="1" applyFont="1" applyFill="1" applyBorder="1" applyAlignment="1">
      <alignment horizontal="right" vertical="center" wrapText="1"/>
    </xf>
    <xf numFmtId="176" fontId="0" fillId="0" borderId="7" xfId="3" applyNumberFormat="1" applyFont="1" applyFill="1" applyBorder="1" applyAlignment="1">
      <alignment horizontal="right" vertical="center" wrapText="1"/>
    </xf>
    <xf numFmtId="176" fontId="0" fillId="0" borderId="25" xfId="3" applyNumberFormat="1" applyFont="1" applyFill="1" applyBorder="1" applyAlignment="1">
      <alignment horizontal="right" vertical="center" wrapText="1"/>
    </xf>
    <xf numFmtId="176" fontId="0" fillId="0" borderId="28" xfId="3" applyNumberFormat="1" applyFont="1" applyFill="1" applyBorder="1" applyAlignment="1">
      <alignment horizontal="right" vertical="center" wrapText="1"/>
    </xf>
    <xf numFmtId="176" fontId="0" fillId="0" borderId="25" xfId="1" applyNumberFormat="1" applyFont="1" applyFill="1" applyBorder="1" applyAlignment="1">
      <alignment horizontal="right" vertical="center" wrapText="1"/>
    </xf>
    <xf numFmtId="176" fontId="0" fillId="0" borderId="6" xfId="1" applyNumberFormat="1" applyFont="1" applyFill="1" applyBorder="1" applyAlignment="1">
      <alignment horizontal="right" vertical="center" wrapText="1"/>
    </xf>
    <xf numFmtId="176" fontId="4" fillId="0" borderId="7" xfId="1" applyNumberFormat="1" applyFont="1" applyFill="1" applyBorder="1" applyAlignment="1">
      <alignment horizontal="right" vertical="center" wrapText="1"/>
    </xf>
    <xf numFmtId="176" fontId="4" fillId="0" borderId="25" xfId="1" applyNumberFormat="1" applyFont="1" applyFill="1" applyBorder="1" applyAlignment="1">
      <alignment horizontal="right" vertical="center" wrapText="1"/>
    </xf>
    <xf numFmtId="176" fontId="4" fillId="0" borderId="6" xfId="1" applyNumberFormat="1" applyFont="1" applyFill="1" applyBorder="1" applyAlignment="1">
      <alignment horizontal="right" vertical="center" wrapText="1"/>
    </xf>
    <xf numFmtId="176" fontId="0" fillId="0" borderId="9" xfId="2" applyNumberFormat="1" applyFont="1" applyFill="1" applyBorder="1" applyAlignment="1">
      <alignment vertical="top" wrapText="1"/>
    </xf>
    <xf numFmtId="176" fontId="0" fillId="0" borderId="9" xfId="2" applyNumberFormat="1" applyFont="1" applyFill="1" applyBorder="1" applyAlignment="1">
      <alignment horizontal="left" vertical="top" wrapText="1"/>
    </xf>
    <xf numFmtId="176" fontId="0" fillId="0" borderId="9" xfId="2" applyNumberFormat="1" applyFont="1" applyFill="1" applyBorder="1" applyAlignment="1">
      <alignment vertical="top"/>
    </xf>
    <xf numFmtId="176" fontId="0" fillId="2" borderId="59" xfId="2" applyNumberFormat="1" applyFont="1" applyFill="1" applyBorder="1" applyAlignment="1">
      <alignment vertical="top" wrapText="1"/>
    </xf>
    <xf numFmtId="176" fontId="4" fillId="0" borderId="60" xfId="2" applyNumberFormat="1" applyFont="1" applyFill="1" applyBorder="1" applyAlignment="1">
      <alignment vertical="top" wrapText="1"/>
    </xf>
    <xf numFmtId="176" fontId="0" fillId="2" borderId="61" xfId="2" applyNumberFormat="1" applyFont="1" applyFill="1" applyBorder="1" applyAlignment="1">
      <alignment vertical="top" wrapText="1"/>
    </xf>
    <xf numFmtId="176" fontId="4" fillId="2" borderId="60" xfId="2" applyNumberFormat="1" applyFont="1" applyFill="1" applyBorder="1" applyAlignment="1">
      <alignment vertical="top" wrapText="1"/>
    </xf>
    <xf numFmtId="176" fontId="0" fillId="0" borderId="61" xfId="2" applyNumberFormat="1" applyFont="1" applyFill="1" applyBorder="1" applyAlignment="1">
      <alignment vertical="top" wrapText="1"/>
    </xf>
    <xf numFmtId="176" fontId="0" fillId="2" borderId="8" xfId="2" applyNumberFormat="1" applyFont="1" applyFill="1" applyBorder="1" applyAlignment="1">
      <alignment vertical="top" wrapText="1"/>
    </xf>
    <xf numFmtId="176" fontId="0" fillId="2" borderId="9" xfId="2" applyNumberFormat="1" applyFont="1" applyFill="1" applyBorder="1" applyAlignment="1">
      <alignment vertical="top" wrapText="1"/>
    </xf>
    <xf numFmtId="177" fontId="0" fillId="2" borderId="15" xfId="3" applyNumberFormat="1" applyFont="1" applyFill="1" applyBorder="1" applyAlignment="1">
      <alignment horizontal="right" vertical="center" wrapText="1"/>
    </xf>
    <xf numFmtId="177" fontId="0" fillId="2" borderId="62" xfId="3" applyNumberFormat="1" applyFont="1" applyFill="1" applyBorder="1" applyAlignment="1">
      <alignment horizontal="right" vertical="center" wrapText="1"/>
    </xf>
    <xf numFmtId="176" fontId="0" fillId="2" borderId="1" xfId="2" applyNumberFormat="1" applyFont="1" applyFill="1" applyBorder="1" applyAlignment="1">
      <alignment horizontal="right" vertical="center" wrapText="1"/>
    </xf>
    <xf numFmtId="176" fontId="4" fillId="0" borderId="8" xfId="3" applyNumberFormat="1" applyFont="1" applyFill="1" applyBorder="1" applyAlignment="1">
      <alignment horizontal="right" vertical="center" wrapText="1"/>
    </xf>
    <xf numFmtId="0" fontId="0" fillId="2" borderId="9" xfId="2" applyNumberFormat="1" applyFont="1" applyFill="1" applyBorder="1" applyAlignment="1">
      <alignment vertical="top" wrapText="1"/>
    </xf>
    <xf numFmtId="0" fontId="0" fillId="2" borderId="3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vertical="top"/>
    </xf>
    <xf numFmtId="0" fontId="0" fillId="2" borderId="30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vertical="top" wrapText="1"/>
    </xf>
    <xf numFmtId="0" fontId="4" fillId="2" borderId="8" xfId="2" applyNumberFormat="1" applyFont="1" applyFill="1" applyBorder="1" applyAlignment="1">
      <alignment vertical="top" wrapText="1"/>
    </xf>
    <xf numFmtId="0" fontId="4" fillId="2" borderId="30" xfId="2" applyNumberFormat="1" applyFont="1" applyFill="1" applyBorder="1" applyAlignment="1">
      <alignment vertical="top" wrapText="1"/>
    </xf>
    <xf numFmtId="41" fontId="7" fillId="2" borderId="3" xfId="1" applyNumberFormat="1" applyFont="1" applyFill="1" applyBorder="1" applyAlignment="1">
      <alignment horizontal="right" vertical="center"/>
    </xf>
    <xf numFmtId="0" fontId="5" fillId="5" borderId="63" xfId="2" applyNumberFormat="1" applyFont="1" applyFill="1" applyBorder="1" applyAlignment="1">
      <alignment horizontal="center" vertical="center" wrapText="1"/>
    </xf>
    <xf numFmtId="41" fontId="5" fillId="5" borderId="64" xfId="0" applyNumberFormat="1" applyFont="1" applyFill="1" applyBorder="1" applyAlignment="1">
      <alignment vertical="center"/>
    </xf>
    <xf numFmtId="0" fontId="0" fillId="5" borderId="65" xfId="0" applyNumberFormat="1" applyFill="1" applyBorder="1">
      <alignment vertical="center"/>
    </xf>
    <xf numFmtId="176" fontId="0" fillId="2" borderId="3" xfId="2" applyNumberFormat="1" applyFont="1" applyFill="1" applyBorder="1" applyAlignment="1">
      <alignment horizontal="right" vertical="center" wrapText="1"/>
    </xf>
    <xf numFmtId="176" fontId="0" fillId="2" borderId="9" xfId="2" applyNumberFormat="1" applyFont="1" applyFill="1" applyBorder="1" applyAlignment="1">
      <alignment horizontal="right" vertical="center" wrapText="1"/>
    </xf>
    <xf numFmtId="0" fontId="5" fillId="2" borderId="66" xfId="2" applyNumberFormat="1" applyFont="1" applyFill="1" applyBorder="1" applyAlignment="1">
      <alignment vertical="center"/>
    </xf>
    <xf numFmtId="0" fontId="5" fillId="2" borderId="67" xfId="2" applyNumberFormat="1" applyFont="1" applyFill="1" applyBorder="1" applyAlignment="1"/>
    <xf numFmtId="176" fontId="0" fillId="2" borderId="15" xfId="0" applyNumberFormat="1" applyFont="1" applyFill="1" applyBorder="1" applyAlignment="1">
      <alignment horizontal="right" vertical="center"/>
    </xf>
    <xf numFmtId="176" fontId="0" fillId="2" borderId="69" xfId="0" applyNumberFormat="1" applyFont="1" applyFill="1" applyBorder="1" applyAlignment="1">
      <alignment horizontal="right" vertical="center"/>
    </xf>
    <xf numFmtId="41" fontId="0" fillId="2" borderId="71" xfId="0" applyNumberFormat="1" applyFont="1" applyFill="1" applyBorder="1" applyAlignment="1">
      <alignment horizontal="right" vertical="center"/>
    </xf>
    <xf numFmtId="41" fontId="0" fillId="2" borderId="68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top" wrapText="1"/>
    </xf>
    <xf numFmtId="177" fontId="0" fillId="2" borderId="3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vertical="top" wrapText="1"/>
    </xf>
    <xf numFmtId="176" fontId="0" fillId="2" borderId="9" xfId="0" applyNumberFormat="1" applyFont="1" applyFill="1" applyBorder="1" applyAlignment="1">
      <alignment horizontal="right" vertical="center"/>
    </xf>
    <xf numFmtId="177" fontId="0" fillId="2" borderId="9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left" vertical="top"/>
    </xf>
    <xf numFmtId="0" fontId="0" fillId="2" borderId="9" xfId="0" applyNumberFormat="1" applyFont="1" applyFill="1" applyBorder="1" applyAlignment="1">
      <alignment horizontal="left" vertical="top"/>
    </xf>
    <xf numFmtId="0" fontId="0" fillId="2" borderId="3" xfId="0" applyNumberFormat="1" applyFont="1" applyFill="1" applyBorder="1" applyAlignment="1">
      <alignment horizontal="left" vertical="top"/>
    </xf>
    <xf numFmtId="41" fontId="5" fillId="2" borderId="3" xfId="1" applyNumberFormat="1" applyFont="1" applyFill="1" applyBorder="1" applyAlignment="1">
      <alignment horizontal="center" vertical="center" wrapText="1"/>
    </xf>
    <xf numFmtId="41" fontId="5" fillId="2" borderId="8" xfId="1" applyNumberFormat="1" applyFont="1" applyFill="1" applyBorder="1" applyAlignment="1">
      <alignment horizontal="center" vertical="center" wrapText="1"/>
    </xf>
    <xf numFmtId="177" fontId="0" fillId="2" borderId="73" xfId="0" applyNumberFormat="1" applyFont="1" applyFill="1" applyBorder="1" applyAlignment="1">
      <alignment horizontal="right" vertical="center"/>
    </xf>
    <xf numFmtId="41" fontId="5" fillId="2" borderId="9" xfId="1" applyNumberFormat="1" applyFont="1" applyFill="1" applyBorder="1" applyAlignment="1">
      <alignment horizontal="center" vertical="center" wrapText="1"/>
    </xf>
    <xf numFmtId="177" fontId="6" fillId="2" borderId="9" xfId="1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right" vertical="center"/>
    </xf>
    <xf numFmtId="176" fontId="0" fillId="2" borderId="25" xfId="0" applyNumberFormat="1" applyFont="1" applyFill="1" applyBorder="1" applyAlignment="1">
      <alignment horizontal="right" vertical="center"/>
    </xf>
    <xf numFmtId="41" fontId="0" fillId="2" borderId="27" xfId="0" applyNumberFormat="1" applyFont="1" applyFill="1" applyBorder="1" applyAlignment="1">
      <alignment horizontal="right" vertical="center"/>
    </xf>
    <xf numFmtId="0" fontId="4" fillId="2" borderId="61" xfId="0" applyNumberFormat="1" applyFont="1" applyFill="1" applyBorder="1" applyAlignment="1">
      <alignment horizontal="left" vertical="top" wrapText="1"/>
    </xf>
    <xf numFmtId="41" fontId="6" fillId="2" borderId="9" xfId="1" applyNumberFormat="1" applyFont="1" applyFill="1" applyBorder="1" applyAlignment="1">
      <alignment horizontal="center" vertical="center" wrapText="1"/>
    </xf>
    <xf numFmtId="176" fontId="0" fillId="2" borderId="15" xfId="2" applyNumberFormat="1" applyFont="1" applyFill="1" applyBorder="1" applyAlignment="1">
      <alignment horizontal="right" vertical="center" wrapText="1"/>
    </xf>
    <xf numFmtId="176" fontId="4" fillId="2" borderId="62" xfId="2" applyNumberFormat="1" applyFont="1" applyFill="1" applyBorder="1" applyAlignment="1">
      <alignment horizontal="right" vertical="center" wrapText="1"/>
    </xf>
    <xf numFmtId="176" fontId="0" fillId="6" borderId="41" xfId="0" applyNumberFormat="1" applyFont="1" applyFill="1" applyBorder="1" applyAlignment="1">
      <alignment vertical="center"/>
    </xf>
    <xf numFmtId="176" fontId="0" fillId="6" borderId="75" xfId="0" applyNumberFormat="1" applyFont="1" applyFill="1" applyBorder="1" applyAlignment="1">
      <alignment vertical="center"/>
    </xf>
    <xf numFmtId="176" fontId="0" fillId="6" borderId="3" xfId="0" applyNumberFormat="1" applyFont="1" applyFill="1" applyBorder="1" applyAlignment="1">
      <alignment vertical="center"/>
    </xf>
    <xf numFmtId="176" fontId="4" fillId="2" borderId="15" xfId="2" applyNumberFormat="1" applyFont="1" applyFill="1" applyBorder="1" applyAlignment="1">
      <alignment horizontal="right" vertical="center" wrapText="1"/>
    </xf>
    <xf numFmtId="176" fontId="4" fillId="2" borderId="76" xfId="2" applyNumberFormat="1" applyFont="1" applyFill="1" applyBorder="1" applyAlignment="1">
      <alignment horizontal="right" vertical="center" wrapText="1"/>
    </xf>
    <xf numFmtId="178" fontId="0" fillId="6" borderId="3" xfId="0" applyNumberFormat="1" applyFont="1" applyFill="1" applyBorder="1" applyAlignment="1">
      <alignment vertical="center"/>
    </xf>
    <xf numFmtId="176" fontId="0" fillId="6" borderId="9" xfId="0" applyNumberFormat="1" applyFont="1" applyFill="1" applyBorder="1" applyAlignment="1">
      <alignment vertical="center"/>
    </xf>
    <xf numFmtId="176" fontId="0" fillId="2" borderId="9" xfId="3" applyNumberFormat="1" applyFont="1" applyFill="1" applyBorder="1" applyAlignment="1">
      <alignment horizontal="right" vertical="center" wrapText="1"/>
    </xf>
    <xf numFmtId="177" fontId="0" fillId="2" borderId="35" xfId="3" applyNumberFormat="1" applyFont="1" applyFill="1" applyBorder="1" applyAlignment="1">
      <alignment horizontal="right"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176" fontId="0" fillId="2" borderId="8" xfId="3" applyNumberFormat="1" applyFont="1" applyFill="1" applyBorder="1" applyAlignment="1">
      <alignment horizontal="right" vertical="center" wrapText="1"/>
    </xf>
    <xf numFmtId="176" fontId="4" fillId="2" borderId="7" xfId="3" applyNumberFormat="1" applyFont="1" applyFill="1" applyBorder="1" applyAlignment="1">
      <alignment horizontal="right" vertical="center" wrapText="1"/>
    </xf>
    <xf numFmtId="0" fontId="0" fillId="6" borderId="77" xfId="0" applyNumberFormat="1" applyFont="1" applyFill="1" applyBorder="1" applyAlignment="1">
      <alignment vertical="center" wrapText="1"/>
    </xf>
    <xf numFmtId="176" fontId="0" fillId="6" borderId="78" xfId="0" applyNumberFormat="1" applyFont="1" applyFill="1" applyBorder="1" applyAlignment="1">
      <alignment vertical="center"/>
    </xf>
    <xf numFmtId="176" fontId="0" fillId="6" borderId="1" xfId="0" applyNumberFormat="1" applyFont="1" applyFill="1" applyBorder="1" applyAlignment="1">
      <alignment vertical="center"/>
    </xf>
    <xf numFmtId="177" fontId="0" fillId="2" borderId="46" xfId="3" applyNumberFormat="1" applyFont="1" applyFill="1" applyBorder="1" applyAlignment="1">
      <alignment horizontal="right" vertical="center" wrapText="1"/>
    </xf>
    <xf numFmtId="0" fontId="0" fillId="6" borderId="79" xfId="0" applyNumberFormat="1" applyFont="1" applyFill="1" applyBorder="1" applyAlignment="1">
      <alignment vertical="center" wrapText="1"/>
    </xf>
    <xf numFmtId="0" fontId="0" fillId="2" borderId="49" xfId="2" applyNumberFormat="1" applyFont="1" applyFill="1" applyBorder="1" applyAlignment="1">
      <alignment vertical="top" wrapText="1"/>
    </xf>
    <xf numFmtId="41" fontId="0" fillId="2" borderId="25" xfId="3" applyNumberFormat="1" applyFont="1" applyFill="1" applyBorder="1" applyAlignment="1">
      <alignment horizontal="right" vertical="center" wrapText="1"/>
    </xf>
    <xf numFmtId="0" fontId="4" fillId="2" borderId="3" xfId="2" applyNumberFormat="1" applyFont="1" applyFill="1" applyBorder="1" applyAlignment="1">
      <alignment vertical="top" wrapText="1"/>
    </xf>
    <xf numFmtId="41" fontId="4" fillId="2" borderId="6" xfId="3" applyNumberFormat="1" applyFont="1" applyFill="1" applyBorder="1" applyAlignment="1">
      <alignment horizontal="right" vertical="center" wrapText="1"/>
    </xf>
    <xf numFmtId="176" fontId="0" fillId="6" borderId="1" xfId="0" applyNumberFormat="1" applyFont="1" applyFill="1" applyBorder="1" applyAlignment="1">
      <alignment vertical="center"/>
    </xf>
    <xf numFmtId="179" fontId="0" fillId="6" borderId="80" xfId="0" applyNumberFormat="1" applyFont="1" applyFill="1" applyBorder="1" applyAlignment="1">
      <alignment vertical="center" wrapText="1"/>
    </xf>
    <xf numFmtId="176" fontId="0" fillId="2" borderId="10" xfId="3" applyNumberFormat="1" applyFont="1" applyFill="1" applyBorder="1" applyAlignment="1">
      <alignment horizontal="right" vertical="center" wrapText="1"/>
    </xf>
    <xf numFmtId="41" fontId="0" fillId="2" borderId="11" xfId="3" applyNumberFormat="1" applyFont="1" applyFill="1" applyBorder="1" applyAlignment="1">
      <alignment vertical="top" wrapText="1"/>
    </xf>
    <xf numFmtId="41" fontId="0" fillId="2" borderId="81" xfId="2" applyNumberFormat="1" applyFont="1" applyFill="1" applyBorder="1" applyAlignment="1">
      <alignment horizontal="right" vertical="center" wrapText="1"/>
    </xf>
    <xf numFmtId="176" fontId="0" fillId="2" borderId="81" xfId="3" applyNumberFormat="1" applyFont="1" applyFill="1" applyBorder="1" applyAlignment="1">
      <alignment horizontal="right" vertical="center" wrapText="1"/>
    </xf>
    <xf numFmtId="41" fontId="0" fillId="2" borderId="82" xfId="3" applyNumberFormat="1" applyFont="1" applyFill="1" applyBorder="1" applyAlignment="1">
      <alignment vertical="top" wrapText="1"/>
    </xf>
    <xf numFmtId="41" fontId="0" fillId="2" borderId="10" xfId="2" applyNumberFormat="1" applyFont="1" applyFill="1" applyBorder="1" applyAlignment="1">
      <alignment horizontal="right" vertical="center" wrapText="1"/>
    </xf>
    <xf numFmtId="41" fontId="0" fillId="2" borderId="10" xfId="3" applyNumberFormat="1" applyFont="1" applyFill="1" applyBorder="1" applyAlignment="1">
      <alignment horizontal="right" vertical="center" wrapText="1"/>
    </xf>
    <xf numFmtId="41" fontId="0" fillId="2" borderId="11" xfId="3" applyNumberFormat="1" applyFont="1" applyFill="1" applyBorder="1" applyAlignment="1">
      <alignment vertical="center" wrapText="1"/>
    </xf>
    <xf numFmtId="176" fontId="0" fillId="2" borderId="3" xfId="3" applyNumberFormat="1" applyFont="1" applyFill="1" applyBorder="1" applyAlignment="1">
      <alignment horizontal="right" vertical="center" wrapText="1"/>
    </xf>
    <xf numFmtId="41" fontId="0" fillId="2" borderId="83" xfId="3" applyNumberFormat="1" applyFont="1" applyFill="1" applyBorder="1" applyAlignment="1">
      <alignment vertical="center" wrapText="1"/>
    </xf>
    <xf numFmtId="41" fontId="0" fillId="2" borderId="84" xfId="3" applyNumberFormat="1" applyFont="1" applyFill="1" applyBorder="1" applyAlignment="1">
      <alignment vertical="center" wrapText="1"/>
    </xf>
    <xf numFmtId="41" fontId="4" fillId="2" borderId="85" xfId="3" applyNumberFormat="1" applyFont="1" applyFill="1" applyBorder="1" applyAlignment="1">
      <alignment vertical="center" wrapText="1"/>
    </xf>
    <xf numFmtId="177" fontId="0" fillId="2" borderId="3" xfId="3" applyNumberFormat="1" applyFont="1" applyFill="1" applyBorder="1" applyAlignment="1">
      <alignment horizontal="right" vertical="center" wrapText="1"/>
    </xf>
    <xf numFmtId="177" fontId="0" fillId="2" borderId="9" xfId="3" applyNumberFormat="1" applyFont="1" applyFill="1" applyBorder="1" applyAlignment="1">
      <alignment horizontal="right" vertical="center" wrapText="1"/>
    </xf>
    <xf numFmtId="41" fontId="0" fillId="2" borderId="1" xfId="2" applyNumberFormat="1" applyFont="1" applyFill="1" applyBorder="1" applyAlignment="1">
      <alignment horizontal="right" vertical="center" wrapText="1"/>
    </xf>
    <xf numFmtId="176" fontId="0" fillId="2" borderId="1" xfId="3" applyNumberFormat="1" applyFont="1" applyFill="1" applyBorder="1" applyAlignment="1">
      <alignment horizontal="right" vertical="center" wrapText="1"/>
    </xf>
    <xf numFmtId="41" fontId="4" fillId="2" borderId="11" xfId="3" applyNumberFormat="1" applyFont="1" applyFill="1" applyBorder="1" applyAlignment="1">
      <alignment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177" fontId="0" fillId="2" borderId="8" xfId="3" applyNumberFormat="1" applyFont="1" applyFill="1" applyBorder="1" applyAlignment="1">
      <alignment horizontal="right" vertical="center" wrapText="1"/>
    </xf>
    <xf numFmtId="176" fontId="0" fillId="2" borderId="86" xfId="3" applyNumberFormat="1" applyFont="1" applyFill="1" applyBorder="1" applyAlignment="1">
      <alignment horizontal="right" vertical="center" wrapText="1"/>
    </xf>
    <xf numFmtId="177" fontId="0" fillId="2" borderId="81" xfId="3" applyNumberFormat="1" applyFont="1" applyFill="1" applyBorder="1" applyAlignment="1">
      <alignment horizontal="right" vertical="center" wrapText="1"/>
    </xf>
    <xf numFmtId="177" fontId="5" fillId="2" borderId="25" xfId="1" applyNumberFormat="1" applyFont="1" applyFill="1" applyBorder="1" applyAlignment="1">
      <alignment horizontal="center" vertical="center" wrapText="1"/>
    </xf>
    <xf numFmtId="177" fontId="5" fillId="2" borderId="6" xfId="1" applyNumberFormat="1" applyFont="1" applyFill="1" applyBorder="1" applyAlignment="1">
      <alignment horizontal="center" vertical="center" wrapText="1"/>
    </xf>
    <xf numFmtId="177" fontId="5" fillId="2" borderId="7" xfId="1" applyNumberFormat="1" applyFont="1" applyFill="1" applyBorder="1" applyAlignment="1">
      <alignment horizontal="center" vertical="center" wrapText="1"/>
    </xf>
    <xf numFmtId="177" fontId="5" fillId="2" borderId="45" xfId="1" applyNumberFormat="1" applyFont="1" applyFill="1" applyBorder="1" applyAlignment="1">
      <alignment horizontal="center" vertical="center" wrapText="1"/>
    </xf>
    <xf numFmtId="177" fontId="5" fillId="2" borderId="39" xfId="1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right" vertical="center"/>
    </xf>
    <xf numFmtId="41" fontId="0" fillId="2" borderId="88" xfId="0" applyNumberFormat="1" applyFont="1" applyFill="1" applyBorder="1" applyAlignment="1">
      <alignment horizontal="right" vertical="center"/>
    </xf>
    <xf numFmtId="41" fontId="4" fillId="5" borderId="43" xfId="0" applyNumberFormat="1" applyFont="1" applyFill="1" applyBorder="1" applyAlignment="1">
      <alignment horizontal="right" vertical="center"/>
    </xf>
    <xf numFmtId="176" fontId="4" fillId="4" borderId="60" xfId="2" applyNumberFormat="1" applyFont="1" applyFill="1" applyBorder="1" applyAlignment="1">
      <alignment vertical="center" wrapText="1"/>
    </xf>
    <xf numFmtId="176" fontId="4" fillId="4" borderId="28" xfId="3" applyNumberFormat="1" applyFont="1" applyFill="1" applyBorder="1" applyAlignment="1">
      <alignment horizontal="right" vertical="center" wrapText="1"/>
    </xf>
    <xf numFmtId="177" fontId="0" fillId="2" borderId="9" xfId="3" applyNumberFormat="1" applyFont="1" applyFill="1" applyBorder="1" applyAlignment="1">
      <alignment horizontal="right"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0" fontId="0" fillId="2" borderId="1" xfId="2" applyNumberFormat="1" applyFont="1" applyFill="1" applyBorder="1" applyAlignment="1">
      <alignment horizontal="left" wrapText="1"/>
    </xf>
    <xf numFmtId="0" fontId="0" fillId="2" borderId="1" xfId="2" applyNumberFormat="1" applyFont="1" applyFill="1" applyBorder="1" applyAlignment="1">
      <alignment wrapText="1"/>
    </xf>
    <xf numFmtId="41" fontId="0" fillId="2" borderId="1" xfId="2" applyNumberFormat="1" applyFont="1" applyFill="1" applyBorder="1" applyAlignment="1">
      <alignment horizontal="right" vertical="center" wrapText="1"/>
    </xf>
    <xf numFmtId="0" fontId="0" fillId="2" borderId="1" xfId="2" applyNumberFormat="1" applyFont="1" applyFill="1" applyBorder="1" applyAlignment="1">
      <alignment horizontal="left" wrapText="1"/>
    </xf>
    <xf numFmtId="41" fontId="0" fillId="2" borderId="2" xfId="3" applyNumberFormat="1" applyFont="1" applyFill="1" applyBorder="1" applyAlignment="1">
      <alignment vertical="top" wrapText="1"/>
    </xf>
    <xf numFmtId="41" fontId="0" fillId="2" borderId="2" xfId="3" applyNumberFormat="1" applyFont="1" applyFill="1" applyBorder="1" applyAlignment="1">
      <alignment vertical="center" wrapText="1"/>
    </xf>
    <xf numFmtId="41" fontId="0" fillId="2" borderId="65" xfId="3" applyNumberFormat="1" applyFont="1" applyFill="1" applyBorder="1" applyAlignment="1">
      <alignment vertical="center" wrapText="1"/>
    </xf>
    <xf numFmtId="41" fontId="0" fillId="2" borderId="89" xfId="3" applyNumberFormat="1" applyFont="1" applyFill="1" applyBorder="1" applyAlignment="1">
      <alignment vertical="center" wrapText="1"/>
    </xf>
    <xf numFmtId="41" fontId="0" fillId="2" borderId="90" xfId="3" applyNumberFormat="1" applyFont="1" applyFill="1" applyBorder="1" applyAlignment="1">
      <alignment vertical="center" wrapText="1"/>
    </xf>
    <xf numFmtId="177" fontId="7" fillId="2" borderId="62" xfId="1" applyNumberFormat="1" applyFont="1" applyFill="1" applyBorder="1" applyAlignment="1">
      <alignment horizontal="right" vertical="center"/>
    </xf>
    <xf numFmtId="0" fontId="7" fillId="2" borderId="9" xfId="4" applyNumberFormat="1" applyFont="1" applyFill="1" applyBorder="1" applyAlignment="1">
      <alignment vertical="center" wrapText="1"/>
    </xf>
    <xf numFmtId="177" fontId="7" fillId="2" borderId="35" xfId="1" applyNumberFormat="1" applyFont="1" applyFill="1" applyBorder="1" applyAlignment="1">
      <alignment horizontal="right" vertical="center"/>
    </xf>
    <xf numFmtId="0" fontId="0" fillId="0" borderId="25" xfId="0" applyNumberFormat="1" applyBorder="1">
      <alignment vertical="center"/>
    </xf>
    <xf numFmtId="0" fontId="0" fillId="6" borderId="6" xfId="0" applyNumberFormat="1" applyFont="1" applyFill="1" applyBorder="1" applyAlignment="1">
      <alignment horizontal="left" vertical="center" wrapText="1"/>
    </xf>
    <xf numFmtId="0" fontId="0" fillId="6" borderId="6" xfId="0" applyNumberFormat="1" applyFont="1" applyFill="1" applyBorder="1" applyAlignment="1">
      <alignment vertical="center" wrapText="1"/>
    </xf>
    <xf numFmtId="0" fontId="0" fillId="6" borderId="6" xfId="0" applyNumberFormat="1" applyFont="1" applyFill="1" applyBorder="1" applyAlignment="1">
      <alignment vertical="center" wrapText="1"/>
    </xf>
    <xf numFmtId="0" fontId="0" fillId="6" borderId="2" xfId="0" applyNumberFormat="1" applyFont="1" applyFill="1" applyBorder="1" applyAlignment="1">
      <alignment vertical="center" wrapText="1"/>
    </xf>
    <xf numFmtId="0" fontId="4" fillId="5" borderId="17" xfId="2" applyNumberFormat="1" applyFont="1" applyFill="1" applyBorder="1" applyAlignment="1">
      <alignment horizontal="center" vertical="center" wrapText="1"/>
    </xf>
    <xf numFmtId="0" fontId="4" fillId="5" borderId="8" xfId="2" applyNumberFormat="1" applyFont="1" applyFill="1" applyBorder="1" applyAlignment="1">
      <alignment horizontal="center" vertical="center" wrapText="1"/>
    </xf>
    <xf numFmtId="0" fontId="0" fillId="0" borderId="91" xfId="0" applyNumberFormat="1" applyBorder="1">
      <alignment vertical="center"/>
    </xf>
    <xf numFmtId="0" fontId="8" fillId="2" borderId="0" xfId="0" applyNumberFormat="1" applyFont="1" applyFill="1" applyBorder="1" applyAlignment="1">
      <alignment vertical="center" textRotation="255" shrinkToFi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center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4" fillId="2" borderId="87" xfId="0" applyNumberFormat="1" applyFont="1" applyFill="1" applyBorder="1" applyAlignment="1">
      <alignment horizontal="left" vertical="top" wrapText="1"/>
    </xf>
    <xf numFmtId="0" fontId="0" fillId="2" borderId="23" xfId="0" applyNumberFormat="1" applyFont="1" applyFill="1" applyBorder="1" applyAlignment="1">
      <alignment horizontal="left" vertical="top" wrapText="1"/>
    </xf>
    <xf numFmtId="0" fontId="0" fillId="2" borderId="18" xfId="0" applyNumberFormat="1" applyFont="1" applyFill="1" applyBorder="1" applyAlignment="1">
      <alignment horizontal="left" vertical="top"/>
    </xf>
    <xf numFmtId="0" fontId="0" fillId="2" borderId="48" xfId="0" applyNumberFormat="1" applyFont="1" applyFill="1" applyBorder="1" applyAlignment="1">
      <alignment horizontal="left" vertical="top" wrapText="1"/>
    </xf>
    <xf numFmtId="0" fontId="0" fillId="2" borderId="92" xfId="2" applyNumberFormat="1" applyFont="1" applyFill="1" applyBorder="1" applyAlignment="1">
      <alignment horizontal="left" vertical="top" wrapText="1"/>
    </xf>
    <xf numFmtId="0" fontId="0" fillId="2" borderId="93" xfId="2" applyNumberFormat="1" applyFont="1" applyFill="1" applyBorder="1" applyAlignment="1">
      <alignment vertical="top" wrapText="1"/>
    </xf>
    <xf numFmtId="41" fontId="0" fillId="2" borderId="81" xfId="2" applyNumberFormat="1" applyFont="1" applyFill="1" applyBorder="1" applyAlignment="1">
      <alignment horizontal="right" vertical="top" wrapText="1"/>
    </xf>
    <xf numFmtId="41" fontId="0" fillId="2" borderId="81" xfId="3" applyNumberFormat="1" applyFont="1" applyFill="1" applyBorder="1" applyAlignment="1">
      <alignment horizontal="right" vertical="top" wrapText="1"/>
    </xf>
    <xf numFmtId="177" fontId="0" fillId="2" borderId="81" xfId="3" applyNumberFormat="1" applyFont="1" applyFill="1" applyBorder="1" applyAlignment="1">
      <alignment horizontal="right" vertical="top" wrapText="1"/>
    </xf>
    <xf numFmtId="41" fontId="0" fillId="2" borderId="11" xfId="3" applyNumberFormat="1" applyFont="1" applyFill="1" applyBorder="1" applyAlignment="1">
      <alignment vertical="top" wrapText="1"/>
    </xf>
    <xf numFmtId="41" fontId="0" fillId="2" borderId="1" xfId="2" applyNumberFormat="1" applyFont="1" applyFill="1" applyBorder="1" applyAlignment="1">
      <alignment horizontal="right" vertical="top" wrapText="1"/>
    </xf>
    <xf numFmtId="41" fontId="0" fillId="2" borderId="1" xfId="3" applyNumberFormat="1" applyFont="1" applyFill="1" applyBorder="1" applyAlignment="1">
      <alignment horizontal="right" vertical="top" wrapText="1"/>
    </xf>
    <xf numFmtId="41" fontId="0" fillId="2" borderId="83" xfId="3" applyNumberFormat="1" applyFont="1" applyFill="1" applyBorder="1" applyAlignment="1">
      <alignment vertical="top" wrapText="1"/>
    </xf>
    <xf numFmtId="41" fontId="0" fillId="2" borderId="84" xfId="3" applyNumberFormat="1" applyFont="1" applyFill="1" applyBorder="1" applyAlignment="1">
      <alignment vertical="top" wrapText="1"/>
    </xf>
    <xf numFmtId="41" fontId="4" fillId="2" borderId="85" xfId="3" applyNumberFormat="1" applyFont="1" applyFill="1" applyBorder="1" applyAlignment="1">
      <alignment vertical="top" wrapText="1"/>
    </xf>
    <xf numFmtId="41" fontId="0" fillId="2" borderId="6" xfId="3" applyNumberFormat="1" applyFont="1" applyFill="1" applyBorder="1" applyAlignment="1">
      <alignment vertical="top" wrapText="1"/>
    </xf>
    <xf numFmtId="41" fontId="8" fillId="2" borderId="94" xfId="3" applyNumberFormat="1" applyFont="1" applyFill="1" applyBorder="1" applyAlignment="1">
      <alignment vertical="top" wrapText="1"/>
    </xf>
    <xf numFmtId="41" fontId="4" fillId="4" borderId="16" xfId="3" applyNumberFormat="1" applyFont="1" applyFill="1" applyBorder="1" applyAlignment="1">
      <alignment horizontal="right" vertical="top" wrapText="1"/>
    </xf>
    <xf numFmtId="177" fontId="0" fillId="2" borderId="15" xfId="3" applyNumberFormat="1" applyFont="1" applyFill="1" applyBorder="1" applyAlignment="1">
      <alignment horizontal="right" vertical="top" wrapText="1"/>
    </xf>
    <xf numFmtId="0" fontId="0" fillId="6" borderId="37" xfId="0" applyNumberFormat="1" applyFont="1" applyFill="1" applyBorder="1" applyAlignment="1">
      <alignment horizontal="left" vertical="top" wrapText="1"/>
    </xf>
    <xf numFmtId="0" fontId="0" fillId="6" borderId="37" xfId="0" applyNumberFormat="1" applyFont="1" applyFill="1" applyBorder="1" applyAlignment="1">
      <alignment vertical="top" wrapText="1"/>
    </xf>
    <xf numFmtId="0" fontId="0" fillId="6" borderId="37" xfId="0" applyNumberFormat="1" applyFont="1" applyFill="1" applyBorder="1" applyAlignment="1">
      <alignment vertical="top" wrapText="1"/>
    </xf>
    <xf numFmtId="176" fontId="4" fillId="2" borderId="62" xfId="2" applyNumberFormat="1" applyFont="1" applyFill="1" applyBorder="1" applyAlignment="1">
      <alignment horizontal="right" vertical="top" wrapText="1"/>
    </xf>
    <xf numFmtId="176" fontId="4" fillId="2" borderId="7" xfId="3" applyNumberFormat="1" applyFont="1" applyFill="1" applyBorder="1" applyAlignment="1">
      <alignment horizontal="right" vertical="top" wrapText="1"/>
    </xf>
    <xf numFmtId="41" fontId="4" fillId="2" borderId="7" xfId="3" applyNumberFormat="1" applyFont="1" applyFill="1" applyBorder="1" applyAlignment="1">
      <alignment horizontal="right" vertical="top" wrapText="1"/>
    </xf>
    <xf numFmtId="177" fontId="0" fillId="2" borderId="35" xfId="3" applyNumberFormat="1" applyFont="1" applyFill="1" applyBorder="1" applyAlignment="1">
      <alignment horizontal="right" vertical="top" wrapText="1"/>
    </xf>
    <xf numFmtId="0" fontId="0" fillId="6" borderId="77" xfId="0" applyNumberFormat="1" applyFont="1" applyFill="1" applyBorder="1" applyAlignment="1">
      <alignment vertical="top" wrapText="1"/>
    </xf>
    <xf numFmtId="176" fontId="4" fillId="2" borderId="15" xfId="2" applyNumberFormat="1" applyFont="1" applyFill="1" applyBorder="1" applyAlignment="1">
      <alignment horizontal="right" vertical="top" wrapText="1"/>
    </xf>
    <xf numFmtId="41" fontId="4" fillId="2" borderId="6" xfId="3" applyNumberFormat="1" applyFont="1" applyFill="1" applyBorder="1" applyAlignment="1">
      <alignment horizontal="righ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4" fillId="2" borderId="52" xfId="0" applyNumberFormat="1" applyFont="1" applyFill="1" applyBorder="1" applyAlignment="1">
      <alignment horizontal="left" vertical="top"/>
    </xf>
    <xf numFmtId="0" fontId="4" fillId="2" borderId="18" xfId="0" applyNumberFormat="1" applyFont="1" applyFill="1" applyBorder="1" applyAlignment="1">
      <alignment horizontal="left" vertical="top"/>
    </xf>
    <xf numFmtId="0" fontId="4" fillId="2" borderId="26" xfId="0" applyNumberFormat="1" applyFont="1" applyFill="1" applyBorder="1" applyAlignment="1">
      <alignment horizontal="left" vertical="top"/>
    </xf>
    <xf numFmtId="0" fontId="0" fillId="2" borderId="49" xfId="0" applyNumberFormat="1" applyFont="1" applyFill="1" applyBorder="1" applyAlignment="1">
      <alignment horizontal="left" vertical="top" wrapText="1"/>
    </xf>
    <xf numFmtId="176" fontId="0" fillId="2" borderId="3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176" fontId="0" fillId="2" borderId="8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176" fontId="0" fillId="0" borderId="3" xfId="2" applyNumberFormat="1" applyFont="1" applyFill="1" applyBorder="1" applyAlignment="1">
      <alignment horizontal="left" vertical="top" wrapText="1"/>
    </xf>
    <xf numFmtId="0" fontId="0" fillId="2" borderId="49" xfId="0" applyNumberFormat="1" applyFont="1" applyFill="1" applyBorder="1" applyAlignment="1">
      <alignment vertical="top" wrapText="1"/>
    </xf>
    <xf numFmtId="0" fontId="4" fillId="2" borderId="52" xfId="0" applyNumberFormat="1" applyFont="1" applyFill="1" applyBorder="1" applyAlignment="1">
      <alignment vertical="top"/>
    </xf>
    <xf numFmtId="0" fontId="0" fillId="2" borderId="18" xfId="0" applyNumberFormat="1" applyFont="1" applyFill="1" applyBorder="1" applyAlignment="1">
      <alignment vertical="top"/>
    </xf>
    <xf numFmtId="0" fontId="4" fillId="2" borderId="18" xfId="0" applyNumberFormat="1" applyFont="1" applyFill="1" applyBorder="1" applyAlignment="1">
      <alignment vertical="top"/>
    </xf>
    <xf numFmtId="0" fontId="4" fillId="2" borderId="26" xfId="0" applyNumberFormat="1" applyFont="1" applyFill="1" applyBorder="1" applyAlignment="1">
      <alignment vertical="top"/>
    </xf>
    <xf numFmtId="0" fontId="5" fillId="0" borderId="95" xfId="0" applyNumberFormat="1" applyFont="1" applyBorder="1" applyAlignment="1">
      <alignment horizontal="left" vertical="top"/>
    </xf>
    <xf numFmtId="176" fontId="4" fillId="5" borderId="8" xfId="2" applyNumberFormat="1" applyFont="1" applyFill="1" applyBorder="1" applyAlignment="1">
      <alignment horizontal="left" vertical="top" wrapText="1"/>
    </xf>
    <xf numFmtId="176" fontId="0" fillId="2" borderId="59" xfId="2" applyNumberFormat="1" applyFont="1" applyFill="1" applyBorder="1" applyAlignment="1">
      <alignment horizontal="left" vertical="top" wrapText="1"/>
    </xf>
    <xf numFmtId="176" fontId="0" fillId="2" borderId="57" xfId="2" applyNumberFormat="1" applyFont="1" applyFill="1" applyBorder="1" applyAlignment="1">
      <alignment horizontal="left" vertical="top" wrapText="1"/>
    </xf>
    <xf numFmtId="176" fontId="0" fillId="0" borderId="57" xfId="2" applyNumberFormat="1" applyFont="1" applyFill="1" applyBorder="1" applyAlignment="1">
      <alignment horizontal="left" vertical="top" wrapText="1"/>
    </xf>
    <xf numFmtId="176" fontId="4" fillId="0" borderId="60" xfId="2" applyNumberFormat="1" applyFont="1" applyFill="1" applyBorder="1" applyAlignment="1">
      <alignment horizontal="left" vertical="top" wrapText="1"/>
    </xf>
    <xf numFmtId="176" fontId="0" fillId="2" borderId="61" xfId="2" applyNumberFormat="1" applyFont="1" applyFill="1" applyBorder="1" applyAlignment="1">
      <alignment horizontal="left" vertical="top" wrapText="1"/>
    </xf>
    <xf numFmtId="176" fontId="4" fillId="2" borderId="60" xfId="2" applyNumberFormat="1" applyFont="1" applyFill="1" applyBorder="1" applyAlignment="1">
      <alignment horizontal="left" vertical="top" wrapText="1"/>
    </xf>
    <xf numFmtId="176" fontId="0" fillId="0" borderId="1" xfId="2" applyNumberFormat="1" applyFont="1" applyFill="1" applyBorder="1" applyAlignment="1">
      <alignment horizontal="left" vertical="top" wrapText="1"/>
    </xf>
    <xf numFmtId="176" fontId="0" fillId="0" borderId="61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0" fontId="0" fillId="2" borderId="58" xfId="2" applyNumberFormat="1" applyFont="1" applyFill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9" fillId="2" borderId="66" xfId="2" applyNumberFormat="1" applyFont="1" applyFill="1" applyBorder="1" applyAlignment="1">
      <alignment vertical="center"/>
    </xf>
    <xf numFmtId="0" fontId="6" fillId="8" borderId="7" xfId="0" applyNumberFormat="1" applyFont="1" applyFill="1" applyBorder="1">
      <alignment vertical="center"/>
    </xf>
    <xf numFmtId="0" fontId="5" fillId="0" borderId="96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/>
    </xf>
    <xf numFmtId="0" fontId="6" fillId="0" borderId="14" xfId="0" applyNumberFormat="1" applyFont="1" applyBorder="1">
      <alignment vertical="center"/>
    </xf>
    <xf numFmtId="0" fontId="5" fillId="2" borderId="40" xfId="0" applyNumberFormat="1" applyFont="1" applyFill="1" applyBorder="1" applyAlignment="1">
      <alignment horizontal="center" vertical="center"/>
    </xf>
    <xf numFmtId="0" fontId="6" fillId="9" borderId="28" xfId="0" applyNumberFormat="1" applyFont="1" applyFill="1" applyBorder="1">
      <alignment vertical="center"/>
    </xf>
    <xf numFmtId="0" fontId="6" fillId="10" borderId="14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left" vertical="top" wrapText="1"/>
    </xf>
    <xf numFmtId="0" fontId="8" fillId="2" borderId="97" xfId="4" applyNumberFormat="1" applyFont="1" applyFill="1" applyBorder="1" applyAlignment="1">
      <alignment vertical="top" wrapText="1"/>
    </xf>
    <xf numFmtId="0" fontId="7" fillId="2" borderId="3" xfId="4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176" fontId="0" fillId="0" borderId="30" xfId="2" applyNumberFormat="1" applyFont="1" applyFill="1" applyBorder="1" applyAlignment="1">
      <alignment horizontal="left" vertical="top" wrapText="1"/>
    </xf>
    <xf numFmtId="0" fontId="0" fillId="2" borderId="92" xfId="2" applyNumberFormat="1" applyFont="1" applyFill="1" applyBorder="1" applyAlignment="1">
      <alignment horizontal="left" vertical="center" wrapText="1"/>
    </xf>
    <xf numFmtId="0" fontId="0" fillId="2" borderId="1" xfId="2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0" fillId="2" borderId="93" xfId="2" applyNumberFormat="1" applyFont="1" applyFill="1" applyBorder="1" applyAlignment="1">
      <alignment vertical="center" wrapText="1"/>
    </xf>
    <xf numFmtId="0" fontId="0" fillId="2" borderId="1" xfId="2" applyNumberFormat="1" applyFont="1" applyFill="1" applyBorder="1" applyAlignment="1">
      <alignment vertical="center" wrapText="1"/>
    </xf>
    <xf numFmtId="0" fontId="0" fillId="2" borderId="3" xfId="2" applyNumberFormat="1" applyFont="1" applyFill="1" applyBorder="1" applyAlignment="1">
      <alignment vertical="center" wrapText="1"/>
    </xf>
    <xf numFmtId="41" fontId="4" fillId="2" borderId="10" xfId="2" applyNumberFormat="1" applyFont="1" applyFill="1" applyBorder="1" applyAlignment="1">
      <alignment horizontal="right" vertical="center" wrapText="1"/>
    </xf>
    <xf numFmtId="41" fontId="4" fillId="2" borderId="10" xfId="2" applyNumberFormat="1" applyFont="1" applyFill="1" applyBorder="1" applyAlignment="1">
      <alignment horizontal="right" vertical="top" wrapText="1"/>
    </xf>
    <xf numFmtId="41" fontId="4" fillId="2" borderId="10" xfId="3" applyNumberFormat="1" applyFont="1" applyFill="1" applyBorder="1" applyAlignment="1">
      <alignment horizontal="right" vertical="top" wrapText="1"/>
    </xf>
    <xf numFmtId="177" fontId="4" fillId="2" borderId="10" xfId="3" applyNumberFormat="1" applyFont="1" applyFill="1" applyBorder="1" applyAlignment="1">
      <alignment horizontal="right" vertical="top" wrapText="1"/>
    </xf>
    <xf numFmtId="41" fontId="4" fillId="2" borderId="8" xfId="2" applyNumberFormat="1" applyFont="1" applyFill="1" applyBorder="1" applyAlignment="1">
      <alignment horizontal="right" vertical="top" wrapText="1"/>
    </xf>
    <xf numFmtId="0" fontId="0" fillId="2" borderId="9" xfId="3" applyNumberFormat="1" applyFont="1" applyFill="1" applyBorder="1" applyAlignment="1">
      <alignment horizontal="right" vertical="top" wrapText="1"/>
    </xf>
    <xf numFmtId="0" fontId="0" fillId="2" borderId="8" xfId="3" applyNumberFormat="1" applyFont="1" applyFill="1" applyBorder="1" applyAlignment="1">
      <alignment horizontal="right" vertical="top" wrapText="1"/>
    </xf>
    <xf numFmtId="41" fontId="4" fillId="2" borderId="4" xfId="2" applyNumberFormat="1" applyFont="1" applyFill="1" applyBorder="1" applyAlignment="1">
      <alignment horizontal="right" vertical="center" wrapText="1"/>
    </xf>
    <xf numFmtId="177" fontId="4" fillId="2" borderId="9" xfId="3" applyNumberFormat="1" applyFont="1" applyFill="1" applyBorder="1" applyAlignment="1">
      <alignment horizontal="right" vertical="center" wrapText="1"/>
    </xf>
    <xf numFmtId="41" fontId="4" fillId="4" borderId="43" xfId="2" applyNumberFormat="1" applyFont="1" applyFill="1" applyBorder="1" applyAlignment="1">
      <alignment horizontal="right" vertical="top" wrapText="1"/>
    </xf>
    <xf numFmtId="177" fontId="4" fillId="4" borderId="44" xfId="3" applyNumberFormat="1" applyFont="1" applyFill="1" applyBorder="1" applyAlignment="1">
      <alignment horizontal="right" vertical="top" wrapText="1"/>
    </xf>
    <xf numFmtId="177" fontId="0" fillId="2" borderId="98" xfId="3" applyNumberFormat="1" applyFont="1" applyFill="1" applyBorder="1" applyAlignment="1">
      <alignment horizontal="right" vertical="top" wrapText="1"/>
    </xf>
    <xf numFmtId="177" fontId="0" fillId="2" borderId="99" xfId="3" applyNumberFormat="1" applyFont="1" applyFill="1" applyBorder="1" applyAlignment="1">
      <alignment horizontal="right" vertical="top" wrapText="1"/>
    </xf>
    <xf numFmtId="41" fontId="4" fillId="2" borderId="15" xfId="2" applyNumberFormat="1" applyFont="1" applyFill="1" applyBorder="1" applyAlignment="1">
      <alignment horizontal="right" vertical="top" wrapText="1"/>
    </xf>
    <xf numFmtId="41" fontId="4" fillId="2" borderId="62" xfId="2" applyNumberFormat="1" applyFont="1" applyFill="1" applyBorder="1" applyAlignment="1">
      <alignment horizontal="right" vertical="top" wrapText="1"/>
    </xf>
    <xf numFmtId="177" fontId="4" fillId="2" borderId="35" xfId="3" applyNumberFormat="1" applyFont="1" applyFill="1" applyBorder="1" applyAlignment="1">
      <alignment horizontal="right" vertical="top" wrapText="1"/>
    </xf>
    <xf numFmtId="41" fontId="0" fillId="6" borderId="1" xfId="0" applyNumberFormat="1" applyFont="1" applyFill="1" applyBorder="1" applyAlignment="1">
      <alignment vertical="center"/>
    </xf>
    <xf numFmtId="41" fontId="4" fillId="2" borderId="62" xfId="2" applyNumberFormat="1" applyFont="1" applyFill="1" applyBorder="1" applyAlignment="1">
      <alignment horizontal="right" vertical="center" wrapText="1"/>
    </xf>
    <xf numFmtId="41" fontId="4" fillId="2" borderId="8" xfId="2" applyNumberFormat="1" applyFont="1" applyFill="1" applyBorder="1" applyAlignment="1">
      <alignment horizontal="right" vertical="center" wrapText="1"/>
    </xf>
    <xf numFmtId="41" fontId="4" fillId="2" borderId="10" xfId="2" applyNumberFormat="1" applyFont="1" applyFill="1" applyBorder="1" applyAlignment="1">
      <alignment horizontal="right" vertical="center" wrapText="1"/>
    </xf>
    <xf numFmtId="0" fontId="0" fillId="2" borderId="101" xfId="0" applyNumberFormat="1" applyFont="1" applyFill="1" applyBorder="1" applyAlignment="1">
      <alignment horizontal="left" vertical="center"/>
    </xf>
    <xf numFmtId="0" fontId="0" fillId="2" borderId="102" xfId="0" applyNumberFormat="1" applyFont="1" applyFill="1" applyBorder="1" applyAlignment="1">
      <alignment horizontal="left" vertical="center"/>
    </xf>
    <xf numFmtId="0" fontId="0" fillId="0" borderId="103" xfId="0" applyNumberFormat="1" applyFont="1" applyBorder="1" applyAlignment="1">
      <alignment horizontal="left" vertical="center"/>
    </xf>
    <xf numFmtId="0" fontId="0" fillId="0" borderId="104" xfId="0" applyNumberFormat="1" applyFont="1" applyBorder="1" applyAlignment="1">
      <alignment horizontal="left" vertical="center"/>
    </xf>
    <xf numFmtId="0" fontId="0" fillId="2" borderId="101" xfId="0" applyNumberFormat="1" applyFont="1" applyFill="1" applyBorder="1">
      <alignment vertical="center"/>
    </xf>
    <xf numFmtId="0" fontId="0" fillId="2" borderId="105" xfId="0" applyNumberFormat="1" applyFont="1" applyFill="1" applyBorder="1">
      <alignment vertical="center"/>
    </xf>
    <xf numFmtId="0" fontId="0" fillId="0" borderId="103" xfId="0" applyNumberFormat="1" applyFont="1" applyBorder="1">
      <alignment vertical="center"/>
    </xf>
    <xf numFmtId="0" fontId="0" fillId="2" borderId="106" xfId="0" applyNumberFormat="1" applyFont="1" applyFill="1" applyBorder="1">
      <alignment vertical="center"/>
    </xf>
    <xf numFmtId="0" fontId="0" fillId="2" borderId="104" xfId="0" applyNumberFormat="1" applyFont="1" applyFill="1" applyBorder="1">
      <alignment vertical="center"/>
    </xf>
    <xf numFmtId="0" fontId="0" fillId="0" borderId="107" xfId="0" applyNumberFormat="1" applyFont="1" applyBorder="1">
      <alignment vertical="center"/>
    </xf>
    <xf numFmtId="0" fontId="0" fillId="0" borderId="104" xfId="0" applyNumberFormat="1" applyFont="1" applyBorder="1">
      <alignment vertical="center"/>
    </xf>
    <xf numFmtId="0" fontId="0" fillId="0" borderId="105" xfId="0" applyNumberFormat="1" applyFont="1" applyBorder="1">
      <alignment vertical="center"/>
    </xf>
    <xf numFmtId="177" fontId="0" fillId="2" borderId="101" xfId="0" applyNumberFormat="1" applyFont="1" applyFill="1" applyBorder="1">
      <alignment vertical="center"/>
    </xf>
    <xf numFmtId="177" fontId="0" fillId="2" borderId="105" xfId="0" applyNumberFormat="1" applyFont="1" applyFill="1" applyBorder="1">
      <alignment vertical="center"/>
    </xf>
    <xf numFmtId="177" fontId="0" fillId="0" borderId="103" xfId="0" applyNumberFormat="1" applyFont="1" applyBorder="1">
      <alignment vertical="center"/>
    </xf>
    <xf numFmtId="0" fontId="0" fillId="2" borderId="108" xfId="0" applyNumberFormat="1" applyFont="1" applyFill="1" applyBorder="1">
      <alignment vertical="center"/>
    </xf>
    <xf numFmtId="177" fontId="0" fillId="2" borderId="30" xfId="3" applyNumberFormat="1" applyFont="1" applyFill="1" applyBorder="1" applyAlignment="1">
      <alignment horizontal="right" vertical="center" wrapText="1"/>
    </xf>
    <xf numFmtId="0" fontId="0" fillId="2" borderId="103" xfId="0" applyNumberFormat="1" applyFont="1" applyFill="1" applyBorder="1" applyAlignment="1">
      <alignment horizontal="left" vertical="center"/>
    </xf>
    <xf numFmtId="0" fontId="0" fillId="2" borderId="103" xfId="0" applyNumberFormat="1" applyFont="1" applyFill="1" applyBorder="1">
      <alignment vertical="center"/>
    </xf>
    <xf numFmtId="0" fontId="0" fillId="2" borderId="107" xfId="0" applyNumberFormat="1" applyFont="1" applyFill="1" applyBorder="1">
      <alignment vertical="center"/>
    </xf>
    <xf numFmtId="177" fontId="0" fillId="2" borderId="103" xfId="0" applyNumberFormat="1" applyFont="1" applyFill="1" applyBorder="1">
      <alignment vertical="center"/>
    </xf>
    <xf numFmtId="177" fontId="4" fillId="4" borderId="47" xfId="3" applyNumberFormat="1" applyFont="1" applyFill="1" applyBorder="1" applyAlignment="1">
      <alignment horizontal="right" vertical="center" wrapText="1"/>
    </xf>
    <xf numFmtId="41" fontId="0" fillId="2" borderId="105" xfId="0" applyNumberFormat="1" applyFont="1" applyFill="1" applyBorder="1">
      <alignment vertical="center"/>
    </xf>
    <xf numFmtId="0" fontId="0" fillId="2" borderId="68" xfId="2" applyNumberFormat="1" applyFont="1" applyFill="1" applyBorder="1" applyAlignment="1">
      <alignment vertical="top" wrapText="1"/>
    </xf>
    <xf numFmtId="0" fontId="0" fillId="2" borderId="15" xfId="2" applyNumberFormat="1" applyFont="1" applyFill="1" applyBorder="1" applyAlignment="1">
      <alignment vertical="top" wrapText="1"/>
    </xf>
    <xf numFmtId="176" fontId="4" fillId="2" borderId="73" xfId="3" applyNumberFormat="1" applyFont="1" applyFill="1" applyBorder="1" applyAlignment="1">
      <alignment horizontal="right" vertical="center" wrapText="1"/>
    </xf>
    <xf numFmtId="41" fontId="8" fillId="2" borderId="111" xfId="3" applyNumberFormat="1" applyFont="1" applyFill="1" applyBorder="1" applyAlignment="1">
      <alignment vertical="center" wrapText="1"/>
    </xf>
    <xf numFmtId="177" fontId="4" fillId="4" borderId="73" xfId="3" applyNumberFormat="1" applyFont="1" applyFill="1" applyBorder="1" applyAlignment="1">
      <alignment horizontal="right" vertical="center" wrapText="1"/>
    </xf>
    <xf numFmtId="41" fontId="4" fillId="4" borderId="43" xfId="2" applyNumberFormat="1" applyFont="1" applyFill="1" applyBorder="1" applyAlignment="1">
      <alignment horizontal="right" vertical="center" wrapText="1"/>
    </xf>
    <xf numFmtId="41" fontId="0" fillId="2" borderId="98" xfId="0" applyNumberFormat="1" applyFont="1" applyFill="1" applyBorder="1" applyAlignment="1">
      <alignment horizontal="right" vertical="center"/>
    </xf>
    <xf numFmtId="177" fontId="0" fillId="2" borderId="99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vertical="top"/>
    </xf>
    <xf numFmtId="177" fontId="0" fillId="2" borderId="78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right" vertical="center"/>
    </xf>
    <xf numFmtId="0" fontId="4" fillId="5" borderId="112" xfId="0" applyNumberFormat="1" applyFont="1" applyFill="1" applyBorder="1" applyAlignment="1">
      <alignment horizontal="center" vertical="center"/>
    </xf>
    <xf numFmtId="0" fontId="4" fillId="5" borderId="42" xfId="0" applyNumberFormat="1" applyFont="1" applyFill="1" applyBorder="1" applyAlignment="1">
      <alignment horizontal="center" vertical="center" wrapText="1"/>
    </xf>
    <xf numFmtId="177" fontId="0" fillId="2" borderId="113" xfId="0" applyNumberFormat="1" applyFont="1" applyFill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right" vertical="center" wrapText="1"/>
    </xf>
    <xf numFmtId="176" fontId="4" fillId="2" borderId="39" xfId="0" applyNumberFormat="1" applyFont="1" applyFill="1" applyBorder="1" applyAlignment="1">
      <alignment horizontal="right" vertical="center"/>
    </xf>
    <xf numFmtId="41" fontId="0" fillId="2" borderId="35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41" fontId="0" fillId="0" borderId="30" xfId="2" applyNumberFormat="1" applyFont="1" applyFill="1" applyBorder="1" applyAlignment="1">
      <alignment horizontal="right" vertical="center" wrapText="1"/>
    </xf>
    <xf numFmtId="176" fontId="0" fillId="0" borderId="30" xfId="3" applyNumberFormat="1" applyFont="1" applyFill="1" applyBorder="1" applyAlignment="1">
      <alignment horizontal="right" vertical="center" wrapText="1"/>
    </xf>
    <xf numFmtId="176" fontId="0" fillId="0" borderId="39" xfId="3" applyNumberFormat="1" applyFont="1" applyFill="1" applyBorder="1" applyAlignment="1">
      <alignment horizontal="right" vertical="center" wrapText="1"/>
    </xf>
    <xf numFmtId="177" fontId="7" fillId="5" borderId="17" xfId="1" applyNumberFormat="1" applyFont="1" applyFill="1" applyBorder="1" applyAlignment="1">
      <alignment horizontal="right" vertical="center"/>
    </xf>
    <xf numFmtId="0" fontId="8" fillId="0" borderId="114" xfId="0" applyNumberFormat="1" applyFont="1" applyFill="1" applyBorder="1" applyAlignment="1" applyProtection="1">
      <alignment vertical="top" wrapText="1"/>
    </xf>
    <xf numFmtId="41" fontId="7" fillId="0" borderId="115" xfId="1" applyNumberFormat="1" applyFont="1" applyBorder="1" applyAlignment="1">
      <alignment horizontal="right" vertical="center"/>
    </xf>
    <xf numFmtId="0" fontId="0" fillId="0" borderId="116" xfId="0" applyNumberFormat="1" applyBorder="1">
      <alignment vertical="center"/>
    </xf>
    <xf numFmtId="0" fontId="8" fillId="0" borderId="17" xfId="0" applyNumberFormat="1" applyFont="1" applyBorder="1" applyAlignment="1">
      <alignment horizontal="left" vertical="top"/>
    </xf>
    <xf numFmtId="41" fontId="7" fillId="2" borderId="8" xfId="1" applyNumberFormat="1" applyFont="1" applyFill="1" applyBorder="1" applyAlignment="1">
      <alignment horizontal="right" vertical="center"/>
    </xf>
    <xf numFmtId="0" fontId="0" fillId="0" borderId="7" xfId="0" applyNumberFormat="1" applyBorder="1">
      <alignment vertical="center"/>
    </xf>
    <xf numFmtId="0" fontId="4" fillId="5" borderId="7" xfId="2" applyNumberFormat="1" applyFont="1" applyFill="1" applyBorder="1" applyAlignment="1">
      <alignment horizontal="center" vertical="center" wrapText="1"/>
    </xf>
    <xf numFmtId="0" fontId="8" fillId="2" borderId="117" xfId="0" applyNumberFormat="1" applyFont="1" applyFill="1" applyBorder="1" applyAlignment="1">
      <alignment horizontal="left" vertical="top" wrapText="1"/>
    </xf>
    <xf numFmtId="0" fontId="7" fillId="2" borderId="9" xfId="4" applyNumberFormat="1" applyFont="1" applyFill="1" applyBorder="1" applyAlignment="1">
      <alignment vertical="top" wrapText="1"/>
    </xf>
    <xf numFmtId="177" fontId="7" fillId="2" borderId="118" xfId="1" applyNumberFormat="1" applyFont="1" applyFill="1" applyBorder="1" applyAlignment="1">
      <alignment horizontal="right" vertical="center"/>
    </xf>
    <xf numFmtId="0" fontId="7" fillId="0" borderId="1" xfId="0" applyNumberFormat="1" applyFont="1" applyBorder="1" applyAlignment="1">
      <alignment horizontal="left" vertical="top" wrapText="1"/>
    </xf>
    <xf numFmtId="0" fontId="7" fillId="2" borderId="1" xfId="4" applyNumberFormat="1" applyFont="1" applyFill="1" applyBorder="1" applyAlignment="1">
      <alignment vertical="center" wrapText="1"/>
    </xf>
    <xf numFmtId="41" fontId="7" fillId="2" borderId="1" xfId="1" applyNumberFormat="1" applyFont="1" applyFill="1" applyBorder="1" applyAlignment="1">
      <alignment horizontal="right" vertical="center"/>
    </xf>
    <xf numFmtId="177" fontId="7" fillId="2" borderId="46" xfId="1" applyNumberFormat="1" applyFont="1" applyFill="1" applyBorder="1" applyAlignment="1">
      <alignment horizontal="right" vertical="center"/>
    </xf>
    <xf numFmtId="0" fontId="0" fillId="0" borderId="2" xfId="0" applyNumberFormat="1" applyBorder="1">
      <alignment vertical="center"/>
    </xf>
    <xf numFmtId="176" fontId="4" fillId="0" borderId="17" xfId="2" applyNumberFormat="1" applyFont="1" applyFill="1" applyBorder="1" applyAlignment="1">
      <alignment vertical="top" wrapText="1"/>
    </xf>
    <xf numFmtId="176" fontId="4" fillId="0" borderId="9" xfId="1" applyNumberFormat="1" applyFont="1" applyFill="1" applyBorder="1" applyAlignment="1">
      <alignment horizontal="right" vertical="center" wrapText="1"/>
    </xf>
    <xf numFmtId="176" fontId="0" fillId="0" borderId="1" xfId="2" applyNumberFormat="1" applyFont="1" applyFill="1" applyBorder="1" applyAlignment="1">
      <alignment vertical="top"/>
    </xf>
    <xf numFmtId="176" fontId="0" fillId="0" borderId="1" xfId="1" applyNumberFormat="1" applyFont="1" applyFill="1" applyBorder="1" applyAlignment="1">
      <alignment horizontal="right" vertical="center" wrapText="1"/>
    </xf>
    <xf numFmtId="177" fontId="0" fillId="0" borderId="1" xfId="3" applyNumberFormat="1" applyFont="1" applyFill="1" applyBorder="1" applyAlignment="1">
      <alignment horizontal="right" vertical="center" wrapText="1"/>
    </xf>
    <xf numFmtId="176" fontId="4" fillId="0" borderId="2" xfId="1" applyNumberFormat="1" applyFont="1" applyFill="1" applyBorder="1" applyAlignment="1">
      <alignment horizontal="right" vertical="center" wrapText="1"/>
    </xf>
    <xf numFmtId="41" fontId="0" fillId="0" borderId="27" xfId="3" applyNumberFormat="1" applyFont="1" applyFill="1" applyBorder="1" applyAlignment="1">
      <alignment horizontal="right" vertical="center" wrapText="1"/>
    </xf>
    <xf numFmtId="177" fontId="0" fillId="0" borderId="27" xfId="3" applyNumberFormat="1" applyFont="1" applyFill="1" applyBorder="1" applyAlignment="1">
      <alignment horizontal="right" vertical="center" wrapText="1"/>
    </xf>
    <xf numFmtId="0" fontId="8" fillId="2" borderId="117" xfId="4" applyNumberFormat="1" applyFont="1" applyFill="1" applyBorder="1" applyAlignment="1">
      <alignment vertical="top" wrapText="1"/>
    </xf>
    <xf numFmtId="0" fontId="8" fillId="2" borderId="17" xfId="0" applyNumberFormat="1" applyFont="1" applyFill="1" applyBorder="1" applyAlignment="1">
      <alignment horizontal="left" vertical="top" wrapText="1"/>
    </xf>
    <xf numFmtId="0" fontId="8" fillId="2" borderId="17" xfId="4" applyNumberFormat="1" applyFont="1" applyFill="1" applyBorder="1" applyAlignment="1">
      <alignment vertical="top" wrapText="1"/>
    </xf>
    <xf numFmtId="41" fontId="6" fillId="0" borderId="3" xfId="0" applyNumberFormat="1" applyFont="1" applyBorder="1">
      <alignment vertical="center"/>
    </xf>
    <xf numFmtId="177" fontId="6" fillId="0" borderId="9" xfId="0" applyNumberFormat="1" applyFont="1" applyBorder="1" applyAlignment="1">
      <alignment horizontal="right" vertical="center"/>
    </xf>
    <xf numFmtId="41" fontId="6" fillId="0" borderId="13" xfId="0" applyNumberFormat="1" applyFont="1" applyBorder="1">
      <alignment vertical="center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0" fontId="4" fillId="2" borderId="8" xfId="0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9" xfId="2" applyNumberFormat="1" applyFont="1" applyFill="1" applyBorder="1" applyAlignment="1">
      <alignment vertical="center"/>
    </xf>
    <xf numFmtId="177" fontId="0" fillId="2" borderId="1" xfId="3" applyNumberFormat="1" applyFont="1" applyFill="1" applyBorder="1" applyAlignment="1">
      <alignment horizontal="right" vertical="top" wrapText="1"/>
    </xf>
    <xf numFmtId="177" fontId="4" fillId="2" borderId="27" xfId="3" applyNumberFormat="1" applyFont="1" applyFill="1" applyBorder="1" applyAlignment="1">
      <alignment horizontal="right" vertical="center" wrapText="1"/>
    </xf>
    <xf numFmtId="41" fontId="4" fillId="2" borderId="116" xfId="3" applyNumberFormat="1" applyFont="1" applyFill="1" applyBorder="1" applyAlignment="1">
      <alignment vertical="center" wrapText="1"/>
    </xf>
    <xf numFmtId="0" fontId="0" fillId="2" borderId="61" xfId="2" applyNumberFormat="1" applyFont="1" applyFill="1" applyBorder="1" applyAlignment="1">
      <alignment horizontal="left" vertical="top" wrapText="1"/>
    </xf>
    <xf numFmtId="41" fontId="4" fillId="2" borderId="1" xfId="2" applyNumberFormat="1" applyFont="1" applyFill="1" applyBorder="1" applyAlignment="1">
      <alignment horizontal="right" vertical="center" wrapText="1"/>
    </xf>
    <xf numFmtId="41" fontId="4" fillId="2" borderId="27" xfId="2" applyNumberFormat="1" applyFont="1" applyFill="1" applyBorder="1" applyAlignment="1">
      <alignment horizontal="right" vertical="center" wrapText="1"/>
    </xf>
    <xf numFmtId="177" fontId="4" fillId="2" borderId="8" xfId="3" applyNumberFormat="1" applyFont="1" applyFill="1" applyBorder="1" applyAlignment="1">
      <alignment horizontal="right" vertical="center" wrapText="1"/>
    </xf>
    <xf numFmtId="41" fontId="4" fillId="2" borderId="119" xfId="3" applyNumberFormat="1" applyFont="1" applyFill="1" applyBorder="1" applyAlignment="1">
      <alignment vertical="center" wrapText="1"/>
    </xf>
    <xf numFmtId="176" fontId="0" fillId="2" borderId="59" xfId="3" applyNumberFormat="1" applyFont="1" applyFill="1" applyBorder="1" applyAlignment="1">
      <alignment horizontal="right" vertical="center" wrapText="1"/>
    </xf>
    <xf numFmtId="176" fontId="0" fillId="2" borderId="98" xfId="3" applyNumberFormat="1" applyFont="1" applyFill="1" applyBorder="1" applyAlignment="1">
      <alignment horizontal="right" vertical="center" wrapText="1"/>
    </xf>
    <xf numFmtId="41" fontId="4" fillId="4" borderId="4" xfId="2" applyNumberFormat="1" applyFont="1" applyFill="1" applyBorder="1" applyAlignment="1">
      <alignment horizontal="right" vertical="center" wrapText="1"/>
    </xf>
    <xf numFmtId="176" fontId="0" fillId="4" borderId="10" xfId="3" applyNumberFormat="1" applyFont="1" applyFill="1" applyBorder="1" applyAlignment="1">
      <alignment horizontal="right" vertical="center" wrapText="1"/>
    </xf>
    <xf numFmtId="41" fontId="4" fillId="4" borderId="11" xfId="3" applyNumberFormat="1" applyFont="1" applyFill="1" applyBorder="1" applyAlignment="1">
      <alignment horizontal="right" vertical="center" wrapText="1"/>
    </xf>
    <xf numFmtId="41" fontId="8" fillId="2" borderId="120" xfId="3" applyNumberFormat="1" applyFont="1" applyFill="1" applyBorder="1" applyAlignment="1">
      <alignment vertical="center" wrapText="1"/>
    </xf>
    <xf numFmtId="9" fontId="0" fillId="2" borderId="41" xfId="0" applyNumberFormat="1" applyFont="1" applyFill="1" applyBorder="1" applyAlignment="1">
      <alignment horizontal="right" vertical="center"/>
    </xf>
    <xf numFmtId="177" fontId="6" fillId="2" borderId="9" xfId="1" applyNumberFormat="1" applyFont="1" applyFill="1" applyBorder="1" applyAlignment="1">
      <alignment horizontal="right" vertical="center" wrapText="1"/>
    </xf>
    <xf numFmtId="41" fontId="5" fillId="8" borderId="8" xfId="0" applyNumberFormat="1" applyFont="1" applyFill="1" applyBorder="1">
      <alignment vertical="center"/>
    </xf>
    <xf numFmtId="177" fontId="5" fillId="8" borderId="8" xfId="0" applyNumberFormat="1" applyFont="1" applyFill="1" applyBorder="1" applyAlignment="1">
      <alignment horizontal="right" vertical="center"/>
    </xf>
    <xf numFmtId="41" fontId="5" fillId="10" borderId="13" xfId="0" applyNumberFormat="1" applyFont="1" applyFill="1" applyBorder="1" applyAlignment="1">
      <alignment horizontal="right" vertical="center"/>
    </xf>
    <xf numFmtId="41" fontId="5" fillId="9" borderId="27" xfId="0" applyNumberFormat="1" applyFont="1" applyFill="1" applyBorder="1">
      <alignment vertical="center"/>
    </xf>
    <xf numFmtId="0" fontId="4" fillId="5" borderId="17" xfId="2" applyNumberFormat="1" applyFont="1" applyFill="1" applyBorder="1" applyAlignment="1">
      <alignment horizontal="center" vertical="top" wrapText="1"/>
    </xf>
    <xf numFmtId="0" fontId="4" fillId="5" borderId="8" xfId="2" applyNumberFormat="1" applyFont="1" applyFill="1" applyBorder="1" applyAlignment="1">
      <alignment horizontal="center" vertical="top" wrapText="1"/>
    </xf>
    <xf numFmtId="41" fontId="0" fillId="2" borderId="103" xfId="0" applyNumberFormat="1" applyFont="1" applyFill="1" applyBorder="1">
      <alignment vertical="center"/>
    </xf>
    <xf numFmtId="177" fontId="4" fillId="2" borderId="1" xfId="3" applyNumberFormat="1" applyFont="1" applyFill="1" applyBorder="1" applyAlignment="1">
      <alignment horizontal="right" vertical="center" wrapText="1"/>
    </xf>
    <xf numFmtId="177" fontId="0" fillId="2" borderId="47" xfId="3" applyNumberFormat="1" applyFont="1" applyFill="1" applyBorder="1" applyAlignment="1">
      <alignment horizontal="right" vertical="center" wrapText="1"/>
    </xf>
    <xf numFmtId="176" fontId="0" fillId="2" borderId="6" xfId="0" applyNumberFormat="1" applyFont="1" applyFill="1" applyBorder="1" applyAlignment="1">
      <alignment horizontal="left" vertical="center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10" xfId="0" applyNumberFormat="1" applyFont="1" applyFill="1" applyBorder="1" applyAlignment="1">
      <alignment horizontal="right" vertical="center"/>
    </xf>
    <xf numFmtId="177" fontId="4" fillId="5" borderId="44" xfId="0" applyNumberFormat="1" applyFont="1" applyFill="1" applyBorder="1" applyAlignment="1">
      <alignment horizontal="right" vertical="center"/>
    </xf>
    <xf numFmtId="0" fontId="0" fillId="2" borderId="121" xfId="0" applyNumberFormat="1" applyFont="1" applyFill="1" applyBorder="1" applyAlignment="1">
      <alignment vertical="top" wrapText="1"/>
    </xf>
    <xf numFmtId="0" fontId="4" fillId="2" borderId="63" xfId="0" applyNumberFormat="1" applyFont="1" applyFill="1" applyBorder="1" applyAlignment="1">
      <alignment vertical="top" wrapText="1"/>
    </xf>
    <xf numFmtId="41" fontId="4" fillId="2" borderId="20" xfId="0" applyNumberFormat="1" applyFont="1" applyFill="1" applyBorder="1" applyAlignment="1">
      <alignment horizontal="right" vertical="center"/>
    </xf>
    <xf numFmtId="177" fontId="4" fillId="2" borderId="73" xfId="0" applyNumberFormat="1" applyFont="1" applyFill="1" applyBorder="1" applyAlignment="1">
      <alignment horizontal="right" vertical="center"/>
    </xf>
    <xf numFmtId="176" fontId="0" fillId="2" borderId="21" xfId="0" applyNumberFormat="1" applyFont="1" applyFill="1" applyBorder="1" applyAlignment="1">
      <alignment horizontal="right" vertical="center"/>
    </xf>
    <xf numFmtId="176" fontId="0" fillId="2" borderId="22" xfId="0" applyNumberFormat="1" applyFont="1" applyFill="1" applyBorder="1" applyAlignment="1">
      <alignment horizontal="right" vertical="center"/>
    </xf>
    <xf numFmtId="0" fontId="4" fillId="2" borderId="60" xfId="0" applyNumberFormat="1" applyFont="1" applyFill="1" applyBorder="1" applyAlignment="1">
      <alignment horizontal="left" vertical="top" wrapText="1"/>
    </xf>
    <xf numFmtId="176" fontId="4" fillId="2" borderId="35" xfId="0" applyNumberFormat="1" applyFont="1" applyFill="1" applyBorder="1" applyAlignment="1">
      <alignment horizontal="right" vertical="center"/>
    </xf>
    <xf numFmtId="0" fontId="0" fillId="6" borderId="2" xfId="0" applyNumberFormat="1" applyFont="1" applyFill="1" applyBorder="1" applyAlignment="1">
      <alignment horizontal="left" vertical="center" wrapText="1"/>
    </xf>
    <xf numFmtId="177" fontId="0" fillId="2" borderId="27" xfId="3" applyNumberFormat="1" applyFont="1" applyFill="1" applyBorder="1" applyAlignment="1">
      <alignment horizontal="right" vertical="center" wrapText="1"/>
    </xf>
    <xf numFmtId="176" fontId="4" fillId="2" borderId="8" xfId="3" applyNumberFormat="1" applyFont="1" applyFill="1" applyBorder="1" applyAlignment="1">
      <alignment horizontal="right" vertical="center" wrapText="1"/>
    </xf>
    <xf numFmtId="177" fontId="4" fillId="2" borderId="27" xfId="3" applyNumberFormat="1" applyFont="1" applyFill="1" applyBorder="1" applyAlignment="1">
      <alignment horizontal="right" vertical="center" wrapText="1"/>
    </xf>
    <xf numFmtId="176" fontId="4" fillId="2" borderId="27" xfId="2" applyNumberFormat="1" applyFont="1" applyFill="1" applyBorder="1" applyAlignment="1">
      <alignment horizontal="right" vertical="center" wrapText="1"/>
    </xf>
    <xf numFmtId="41" fontId="4" fillId="2" borderId="28" xfId="3" applyNumberFormat="1" applyFont="1" applyFill="1" applyBorder="1" applyAlignment="1">
      <alignment horizontal="right" vertical="center" wrapText="1"/>
    </xf>
    <xf numFmtId="0" fontId="0" fillId="6" borderId="2" xfId="0" applyNumberFormat="1" applyFont="1" applyFill="1" applyBorder="1" applyAlignment="1">
      <alignment vertical="center" wrapText="1"/>
    </xf>
    <xf numFmtId="176" fontId="0" fillId="6" borderId="9" xfId="0" applyNumberFormat="1" applyFont="1" applyFill="1" applyBorder="1" applyAlignment="1">
      <alignment vertical="center"/>
    </xf>
    <xf numFmtId="179" fontId="0" fillId="6" borderId="25" xfId="0" applyNumberFormat="1" applyFont="1" applyFill="1" applyBorder="1" applyAlignment="1">
      <alignment vertical="center" wrapText="1"/>
    </xf>
    <xf numFmtId="177" fontId="4" fillId="4" borderId="118" xfId="3" applyNumberFormat="1" applyFont="1" applyFill="1" applyBorder="1" applyAlignment="1">
      <alignment horizontal="right" vertical="center" wrapText="1"/>
    </xf>
    <xf numFmtId="176" fontId="0" fillId="2" borderId="46" xfId="0" applyNumberFormat="1" applyFont="1" applyFill="1" applyBorder="1" applyAlignment="1">
      <alignment horizontal="right" vertical="center"/>
    </xf>
    <xf numFmtId="176" fontId="0" fillId="2" borderId="35" xfId="0" applyNumberFormat="1" applyFont="1" applyFill="1" applyBorder="1" applyAlignment="1">
      <alignment horizontal="right" vertical="center"/>
    </xf>
    <xf numFmtId="41" fontId="4" fillId="2" borderId="62" xfId="0" applyNumberFormat="1" applyFont="1" applyFill="1" applyBorder="1" applyAlignment="1">
      <alignment horizontal="right" vertical="center"/>
    </xf>
    <xf numFmtId="177" fontId="4" fillId="2" borderId="74" xfId="0" applyNumberFormat="1" applyFont="1" applyFill="1" applyBorder="1" applyAlignment="1">
      <alignment horizontal="right" vertical="center"/>
    </xf>
    <xf numFmtId="41" fontId="4" fillId="2" borderId="73" xfId="0" applyNumberFormat="1" applyFont="1" applyFill="1" applyBorder="1" applyAlignment="1">
      <alignment horizontal="right" vertical="center"/>
    </xf>
    <xf numFmtId="0" fontId="0" fillId="2" borderId="121" xfId="0" applyNumberFormat="1" applyFont="1" applyFill="1" applyBorder="1" applyAlignment="1">
      <alignment horizontal="left" vertical="top" wrapText="1"/>
    </xf>
    <xf numFmtId="0" fontId="4" fillId="2" borderId="63" xfId="0" applyNumberFormat="1" applyFont="1" applyFill="1" applyBorder="1" applyAlignment="1">
      <alignment horizontal="left" vertical="top" wrapText="1"/>
    </xf>
    <xf numFmtId="41" fontId="4" fillId="2" borderId="118" xfId="0" applyNumberFormat="1" applyFont="1" applyFill="1" applyBorder="1" applyAlignment="1">
      <alignment horizontal="right" vertical="center"/>
    </xf>
    <xf numFmtId="177" fontId="4" fillId="2" borderId="13" xfId="3" applyNumberFormat="1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left" vertical="top"/>
    </xf>
    <xf numFmtId="0" fontId="4" fillId="2" borderId="8" xfId="0" applyNumberFormat="1" applyFont="1" applyFill="1" applyBorder="1" applyAlignment="1">
      <alignment horizontal="left" vertical="top"/>
    </xf>
    <xf numFmtId="176" fontId="0" fillId="2" borderId="9" xfId="2" applyNumberFormat="1" applyFont="1" applyFill="1" applyBorder="1" applyAlignment="1">
      <alignment horizontal="right" vertical="center" wrapText="1"/>
    </xf>
    <xf numFmtId="176" fontId="0" fillId="2" borderId="9" xfId="3" applyNumberFormat="1" applyFont="1" applyFill="1" applyBorder="1" applyAlignment="1">
      <alignment horizontal="right" vertical="center" wrapText="1"/>
    </xf>
    <xf numFmtId="176" fontId="4" fillId="5" borderId="17" xfId="2" applyNumberFormat="1" applyFont="1" applyFill="1" applyBorder="1" applyAlignment="1">
      <alignment horizontal="left" vertical="top" wrapText="1"/>
    </xf>
    <xf numFmtId="177" fontId="4" fillId="2" borderId="46" xfId="3" applyNumberFormat="1" applyFont="1" applyFill="1" applyBorder="1" applyAlignment="1">
      <alignment horizontal="right" vertical="center" wrapText="1"/>
    </xf>
    <xf numFmtId="176" fontId="4" fillId="0" borderId="8" xfId="2" applyNumberFormat="1" applyFont="1" applyFill="1" applyBorder="1" applyAlignment="1">
      <alignment horizontal="right" vertical="center" wrapText="1"/>
    </xf>
    <xf numFmtId="176" fontId="4" fillId="2" borderId="8" xfId="3" applyNumberFormat="1" applyFont="1" applyFill="1" applyBorder="1" applyAlignment="1">
      <alignment horizontal="right" vertical="center" wrapText="1"/>
    </xf>
    <xf numFmtId="177" fontId="0" fillId="2" borderId="1" xfId="3" applyNumberFormat="1" applyFont="1" applyFill="1" applyBorder="1" applyAlignment="1">
      <alignment horizontal="right" vertical="center" wrapText="1"/>
    </xf>
    <xf numFmtId="177" fontId="4" fillId="2" borderId="35" xfId="3" applyNumberFormat="1" applyFont="1" applyFill="1" applyBorder="1" applyAlignment="1">
      <alignment horizontal="right" vertical="center" wrapText="1"/>
    </xf>
    <xf numFmtId="177" fontId="0" fillId="2" borderId="3" xfId="3" applyNumberFormat="1" applyFont="1" applyFill="1" applyBorder="1" applyAlignment="1">
      <alignment horizontal="right" vertical="center" wrapText="1"/>
    </xf>
    <xf numFmtId="177" fontId="0" fillId="5" borderId="46" xfId="3" applyNumberFormat="1" applyFont="1" applyFill="1" applyBorder="1" applyAlignment="1">
      <alignment horizontal="right" vertical="center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1" fontId="0" fillId="2" borderId="3" xfId="1" applyNumberFormat="1" applyFont="1" applyFill="1" applyBorder="1" applyAlignment="1">
      <alignment horizontal="right" vertical="center"/>
    </xf>
    <xf numFmtId="177" fontId="6" fillId="2" borderId="123" xfId="1" applyNumberFormat="1" applyFont="1" applyFill="1" applyBorder="1" applyAlignment="1">
      <alignment horizontal="center" vertical="center" wrapText="1"/>
    </xf>
    <xf numFmtId="177" fontId="6" fillId="2" borderId="109" xfId="1" applyNumberFormat="1" applyFont="1" applyFill="1" applyBorder="1" applyAlignment="1">
      <alignment horizontal="center" vertical="center" wrapText="1"/>
    </xf>
    <xf numFmtId="41" fontId="5" fillId="2" borderId="8" xfId="1" applyNumberFormat="1" applyFont="1" applyFill="1" applyBorder="1" applyAlignment="1">
      <alignment horizontal="right" vertical="center" wrapText="1"/>
    </xf>
    <xf numFmtId="176" fontId="5" fillId="2" borderId="8" xfId="1" applyNumberFormat="1" applyFont="1" applyFill="1" applyBorder="1" applyAlignment="1">
      <alignment horizontal="right" vertical="center" wrapText="1"/>
    </xf>
    <xf numFmtId="177" fontId="5" fillId="2" borderId="8" xfId="1" applyNumberFormat="1" applyFont="1" applyFill="1" applyBorder="1" applyAlignment="1">
      <alignment horizontal="right" vertical="center" wrapText="1"/>
    </xf>
    <xf numFmtId="176" fontId="6" fillId="2" borderId="9" xfId="1" applyNumberFormat="1" applyFont="1" applyFill="1" applyBorder="1" applyAlignment="1">
      <alignment horizontal="right" vertical="center" wrapText="1"/>
    </xf>
    <xf numFmtId="176" fontId="0" fillId="2" borderId="54" xfId="0" applyNumberFormat="1" applyFont="1" applyFill="1" applyBorder="1" applyAlignment="1">
      <alignment horizontal="right" vertical="center"/>
    </xf>
    <xf numFmtId="41" fontId="0" fillId="2" borderId="1" xfId="1" applyNumberFormat="1" applyFont="1" applyFill="1" applyBorder="1" applyAlignment="1">
      <alignment horizontal="right" vertical="center"/>
    </xf>
    <xf numFmtId="41" fontId="0" fillId="2" borderId="19" xfId="1" applyNumberFormat="1" applyFont="1" applyFill="1" applyBorder="1" applyAlignment="1">
      <alignment horizontal="right" vertical="center"/>
    </xf>
    <xf numFmtId="41" fontId="4" fillId="2" borderId="74" xfId="0" applyNumberFormat="1" applyFont="1" applyFill="1" applyBorder="1" applyAlignment="1">
      <alignment horizontal="right" vertical="center"/>
    </xf>
    <xf numFmtId="176" fontId="4" fillId="2" borderId="74" xfId="0" applyNumberFormat="1" applyFont="1" applyFill="1" applyBorder="1" applyAlignment="1">
      <alignment horizontal="right" vertical="center"/>
    </xf>
    <xf numFmtId="41" fontId="0" fillId="2" borderId="21" xfId="1" applyNumberFormat="1" applyFont="1" applyFill="1" applyBorder="1" applyAlignment="1">
      <alignment horizontal="right" vertical="center"/>
    </xf>
    <xf numFmtId="41" fontId="0" fillId="2" borderId="23" xfId="1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7" fontId="6" fillId="2" borderId="1" xfId="1" applyNumberFormat="1" applyFont="1" applyFill="1" applyBorder="1" applyAlignment="1">
      <alignment horizontal="center" vertical="center" wrapText="1"/>
    </xf>
    <xf numFmtId="41" fontId="4" fillId="2" borderId="8" xfId="0" applyNumberFormat="1" applyFont="1" applyFill="1" applyBorder="1" applyAlignment="1">
      <alignment vertical="center"/>
    </xf>
    <xf numFmtId="176" fontId="4" fillId="2" borderId="10" xfId="0" applyNumberFormat="1" applyFont="1" applyFill="1" applyBorder="1" applyAlignment="1">
      <alignment vertical="center"/>
    </xf>
    <xf numFmtId="176" fontId="4" fillId="5" borderId="43" xfId="0" applyNumberFormat="1" applyFont="1" applyFill="1" applyBorder="1" applyAlignment="1">
      <alignment horizontal="right" vertical="center"/>
    </xf>
    <xf numFmtId="41" fontId="0" fillId="2" borderId="12" xfId="1" applyNumberFormat="1" applyFont="1" applyFill="1" applyBorder="1" applyAlignment="1">
      <alignment horizontal="right" vertical="center"/>
    </xf>
    <xf numFmtId="41" fontId="0" fillId="2" borderId="4" xfId="1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7" fontId="0" fillId="2" borderId="22" xfId="0" applyNumberFormat="1" applyFont="1" applyFill="1" applyBorder="1" applyAlignment="1">
      <alignment horizontal="right" vertical="center"/>
    </xf>
    <xf numFmtId="41" fontId="0" fillId="2" borderId="42" xfId="1" applyNumberFormat="1" applyFont="1" applyFill="1" applyBorder="1" applyAlignment="1">
      <alignment horizontal="right" vertical="center"/>
    </xf>
    <xf numFmtId="41" fontId="0" fillId="2" borderId="41" xfId="1" applyNumberFormat="1" applyFont="1" applyFill="1" applyBorder="1" applyAlignment="1">
      <alignment horizontal="right" vertical="center"/>
    </xf>
    <xf numFmtId="41" fontId="0" fillId="2" borderId="30" xfId="1" applyNumberFormat="1" applyFont="1" applyFill="1" applyBorder="1" applyAlignment="1">
      <alignment horizontal="right" vertical="center"/>
    </xf>
    <xf numFmtId="41" fontId="0" fillId="2" borderId="68" xfId="1" applyNumberFormat="1" applyFont="1" applyFill="1" applyBorder="1" applyAlignment="1">
      <alignment horizontal="right" vertical="center"/>
    </xf>
    <xf numFmtId="41" fontId="4" fillId="2" borderId="123" xfId="0" applyNumberFormat="1" applyFont="1" applyFill="1" applyBorder="1" applyAlignment="1">
      <alignment horizontal="right" vertical="center"/>
    </xf>
    <xf numFmtId="176" fontId="0" fillId="2" borderId="81" xfId="0" applyNumberFormat="1" applyFont="1" applyFill="1" applyBorder="1" applyAlignment="1">
      <alignment horizontal="right" vertical="center"/>
    </xf>
    <xf numFmtId="41" fontId="0" fillId="2" borderId="9" xfId="1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41" fontId="0" fillId="2" borderId="124" xfId="1" applyNumberFormat="1" applyFont="1" applyFill="1" applyBorder="1" applyAlignment="1">
      <alignment horizontal="right" vertical="center"/>
    </xf>
    <xf numFmtId="176" fontId="0" fillId="2" borderId="50" xfId="0" applyNumberFormat="1" applyFont="1" applyFill="1" applyBorder="1" applyAlignment="1">
      <alignment horizontal="right" vertical="center"/>
    </xf>
    <xf numFmtId="41" fontId="4" fillId="5" borderId="10" xfId="0" applyNumberFormat="1" applyFont="1" applyFill="1" applyBorder="1" applyAlignment="1">
      <alignment horizontal="right" vertical="center"/>
    </xf>
    <xf numFmtId="176" fontId="4" fillId="5" borderId="1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4" fillId="2" borderId="87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vertical="top" wrapText="1"/>
    </xf>
    <xf numFmtId="41" fontId="4" fillId="2" borderId="27" xfId="0" applyNumberFormat="1" applyFont="1" applyFill="1" applyBorder="1" applyAlignment="1">
      <alignment horizontal="right" vertical="center"/>
    </xf>
    <xf numFmtId="177" fontId="0" fillId="2" borderId="127" xfId="0" applyNumberFormat="1" applyFont="1" applyFill="1" applyBorder="1" applyAlignment="1">
      <alignment horizontal="right" vertical="center"/>
    </xf>
    <xf numFmtId="41" fontId="0" fillId="2" borderId="43" xfId="0" applyNumberFormat="1" applyFont="1" applyFill="1" applyBorder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68" xfId="0" applyNumberFormat="1" applyFont="1" applyFill="1" applyBorder="1" applyAlignment="1">
      <alignment horizontal="right" vertical="center"/>
    </xf>
    <xf numFmtId="176" fontId="0" fillId="2" borderId="47" xfId="0" applyNumberFormat="1" applyFont="1" applyFill="1" applyBorder="1" applyAlignment="1">
      <alignment horizontal="right" vertical="center"/>
    </xf>
    <xf numFmtId="177" fontId="0" fillId="2" borderId="130" xfId="0" applyNumberFormat="1" applyFont="1" applyFill="1" applyBorder="1" applyAlignment="1">
      <alignment horizontal="right" vertical="center"/>
    </xf>
    <xf numFmtId="177" fontId="4" fillId="2" borderId="109" xfId="0" applyNumberFormat="1" applyFont="1" applyFill="1" applyBorder="1" applyAlignment="1">
      <alignment horizontal="right" vertical="center"/>
    </xf>
    <xf numFmtId="0" fontId="4" fillId="7" borderId="32" xfId="0" applyNumberFormat="1" applyFont="1" applyFill="1" applyBorder="1" applyAlignment="1">
      <alignment vertical="top" wrapText="1"/>
    </xf>
    <xf numFmtId="0" fontId="0" fillId="7" borderId="13" xfId="0" applyNumberFormat="1" applyFont="1" applyFill="1" applyBorder="1" applyAlignment="1">
      <alignment vertical="top" wrapText="1"/>
    </xf>
    <xf numFmtId="0" fontId="0" fillId="7" borderId="47" xfId="0" applyNumberFormat="1" applyFont="1" applyFill="1" applyBorder="1" applyAlignment="1">
      <alignment vertical="top" wrapText="1"/>
    </xf>
    <xf numFmtId="41" fontId="0" fillId="2" borderId="9" xfId="1" applyNumberFormat="1" applyFont="1" applyFill="1" applyBorder="1" applyAlignment="1">
      <alignment horizontal="center" vertical="center" wrapText="1"/>
    </xf>
    <xf numFmtId="41" fontId="0" fillId="2" borderId="1" xfId="1" applyNumberFormat="1" applyFont="1" applyFill="1" applyBorder="1" applyAlignment="1">
      <alignment horizontal="center" vertical="center" wrapText="1"/>
    </xf>
    <xf numFmtId="176" fontId="0" fillId="2" borderId="82" xfId="0" applyNumberFormat="1" applyFont="1" applyFill="1" applyBorder="1" applyAlignment="1">
      <alignment horizontal="right" vertical="center"/>
    </xf>
    <xf numFmtId="41" fontId="0" fillId="2" borderId="98" xfId="1" applyNumberFormat="1" applyFont="1" applyFill="1" applyBorder="1" applyAlignment="1">
      <alignment horizontal="center" vertical="center" wrapText="1"/>
    </xf>
    <xf numFmtId="176" fontId="0" fillId="2" borderId="133" xfId="0" applyNumberFormat="1" applyFont="1" applyFill="1" applyBorder="1" applyAlignment="1">
      <alignment horizontal="right" vertical="center"/>
    </xf>
    <xf numFmtId="176" fontId="0" fillId="2" borderId="134" xfId="0" applyNumberFormat="1" applyFont="1" applyFill="1" applyBorder="1" applyAlignment="1">
      <alignment horizontal="right" vertical="center"/>
    </xf>
    <xf numFmtId="9" fontId="0" fillId="2" borderId="73" xfId="0" applyNumberFormat="1" applyFont="1" applyFill="1" applyBorder="1" applyAlignment="1">
      <alignment horizontal="right" vertical="center"/>
    </xf>
    <xf numFmtId="9" fontId="0" fillId="2" borderId="78" xfId="0" applyNumberFormat="1" applyFont="1" applyFill="1" applyBorder="1" applyAlignment="1">
      <alignment horizontal="right" vertical="center"/>
    </xf>
    <xf numFmtId="176" fontId="4" fillId="11" borderId="11" xfId="0" applyNumberFormat="1" applyFont="1" applyFill="1" applyBorder="1" applyAlignment="1">
      <alignment horizontal="right" vertical="center"/>
    </xf>
    <xf numFmtId="41" fontId="4" fillId="4" borderId="43" xfId="0" applyNumberFormat="1" applyFont="1" applyFill="1" applyBorder="1" applyAlignment="1">
      <alignment horizontal="right" vertical="center"/>
    </xf>
    <xf numFmtId="176" fontId="4" fillId="4" borderId="16" xfId="0" applyNumberFormat="1" applyFont="1" applyFill="1" applyBorder="1" applyAlignment="1">
      <alignment horizontal="right" vertical="center"/>
    </xf>
    <xf numFmtId="0" fontId="4" fillId="7" borderId="3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left" vertical="top" wrapText="1"/>
    </xf>
    <xf numFmtId="177" fontId="4" fillId="4" borderId="44" xfId="0" applyNumberFormat="1" applyFont="1" applyFill="1" applyBorder="1" applyAlignment="1">
      <alignment horizontal="right" vertical="center"/>
    </xf>
    <xf numFmtId="41" fontId="0" fillId="2" borderId="13" xfId="1" applyNumberFormat="1" applyFont="1" applyFill="1" applyBorder="1" applyAlignment="1">
      <alignment horizontal="right" vertical="center"/>
    </xf>
    <xf numFmtId="177" fontId="4" fillId="5" borderId="73" xfId="0" applyNumberFormat="1" applyFont="1" applyFill="1" applyBorder="1" applyAlignment="1">
      <alignment horizontal="right" vertical="center"/>
    </xf>
    <xf numFmtId="9" fontId="0" fillId="2" borderId="137" xfId="0" applyNumberFormat="1" applyFont="1" applyFill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right" vertical="center"/>
    </xf>
    <xf numFmtId="177" fontId="0" fillId="2" borderId="140" xfId="0" applyNumberFormat="1" applyFont="1" applyFill="1" applyBorder="1" applyAlignment="1">
      <alignment horizontal="right" vertical="center"/>
    </xf>
    <xf numFmtId="177" fontId="4" fillId="2" borderId="141" xfId="0" applyNumberFormat="1" applyFont="1" applyFill="1" applyBorder="1" applyAlignment="1">
      <alignment horizontal="right" vertical="center"/>
    </xf>
    <xf numFmtId="177" fontId="4" fillId="2" borderId="123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11" borderId="68" xfId="0" applyNumberFormat="1" applyFont="1" applyFill="1" applyBorder="1" applyAlignment="1">
      <alignment horizontal="right" vertical="center"/>
    </xf>
    <xf numFmtId="177" fontId="4" fillId="11" borderId="43" xfId="0" applyNumberFormat="1" applyFont="1" applyFill="1" applyBorder="1" applyAlignment="1">
      <alignment horizontal="right" vertical="center"/>
    </xf>
    <xf numFmtId="41" fontId="4" fillId="11" borderId="62" xfId="0" applyNumberFormat="1" applyFont="1" applyFill="1" applyBorder="1" applyAlignment="1">
      <alignment horizontal="right" vertical="center"/>
    </xf>
    <xf numFmtId="177" fontId="4" fillId="11" borderId="74" xfId="0" applyNumberFormat="1" applyFont="1" applyFill="1" applyBorder="1" applyAlignment="1">
      <alignment horizontal="right" vertical="center"/>
    </xf>
    <xf numFmtId="176" fontId="0" fillId="11" borderId="11" xfId="0" applyNumberFormat="1" applyFont="1" applyFill="1" applyBorder="1" applyAlignment="1">
      <alignment horizontal="right" vertical="center"/>
    </xf>
    <xf numFmtId="177" fontId="4" fillId="11" borderId="137" xfId="0" applyNumberFormat="1" applyFont="1" applyFill="1" applyBorder="1" applyAlignment="1">
      <alignment horizontal="right" vertical="center"/>
    </xf>
    <xf numFmtId="177" fontId="4" fillId="11" borderId="142" xfId="0" applyNumberFormat="1" applyFont="1" applyFill="1" applyBorder="1" applyAlignment="1">
      <alignment horizontal="right" vertical="center"/>
    </xf>
    <xf numFmtId="41" fontId="4" fillId="11" borderId="73" xfId="0" applyNumberFormat="1" applyFont="1" applyFill="1" applyBorder="1" applyAlignment="1">
      <alignment horizontal="right" vertical="center"/>
    </xf>
    <xf numFmtId="9" fontId="0" fillId="11" borderId="74" xfId="0" applyNumberFormat="1" applyFont="1" applyFill="1" applyBorder="1" applyAlignment="1">
      <alignment horizontal="right" vertical="center"/>
    </xf>
    <xf numFmtId="0" fontId="0" fillId="2" borderId="143" xfId="0" applyNumberFormat="1" applyFont="1" applyFill="1" applyBorder="1" applyAlignment="1">
      <alignment horizontal="left" vertical="top" wrapText="1"/>
    </xf>
    <xf numFmtId="176" fontId="4" fillId="4" borderId="43" xfId="0" applyNumberFormat="1" applyFont="1" applyFill="1" applyBorder="1" applyAlignment="1">
      <alignment horizontal="right" vertical="center"/>
    </xf>
    <xf numFmtId="177" fontId="4" fillId="4" borderId="43" xfId="0" applyNumberFormat="1" applyFont="1" applyFill="1" applyBorder="1" applyAlignment="1">
      <alignment horizontal="right" vertical="center"/>
    </xf>
    <xf numFmtId="0" fontId="0" fillId="2" borderId="3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center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0" fillId="2" borderId="66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vertical="top" wrapText="1"/>
    </xf>
    <xf numFmtId="176" fontId="4" fillId="2" borderId="5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177" fontId="0" fillId="2" borderId="8" xfId="3" applyNumberFormat="1" applyFont="1" applyFill="1" applyBorder="1" applyAlignment="1">
      <alignment horizontal="right" vertical="center" wrapText="1"/>
    </xf>
    <xf numFmtId="41" fontId="0" fillId="2" borderId="7" xfId="3" applyNumberFormat="1" applyFont="1" applyFill="1" applyBorder="1" applyAlignment="1">
      <alignment vertical="center" wrapText="1"/>
    </xf>
    <xf numFmtId="177" fontId="0" fillId="2" borderId="86" xfId="3" applyNumberFormat="1" applyFont="1" applyFill="1" applyBorder="1" applyAlignment="1">
      <alignment horizontal="right" vertical="center" wrapText="1"/>
    </xf>
    <xf numFmtId="177" fontId="0" fillId="2" borderId="98" xfId="3" applyNumberFormat="1" applyFont="1" applyFill="1" applyBorder="1" applyAlignment="1">
      <alignment horizontal="right" vertical="center" wrapText="1"/>
    </xf>
    <xf numFmtId="41" fontId="4" fillId="2" borderId="42" xfId="2" applyNumberFormat="1" applyFont="1" applyFill="1" applyBorder="1" applyAlignment="1">
      <alignment horizontal="right" vertical="center" wrapText="1"/>
    </xf>
    <xf numFmtId="41" fontId="0" fillId="6" borderId="75" xfId="1" applyNumberFormat="1" applyFont="1" applyFill="1" applyBorder="1" applyAlignment="1">
      <alignment vertical="center"/>
    </xf>
    <xf numFmtId="41" fontId="0" fillId="6" borderId="3" xfId="1" applyNumberFormat="1" applyFont="1" applyFill="1" applyBorder="1" applyAlignment="1">
      <alignment vertical="center"/>
    </xf>
    <xf numFmtId="41" fontId="4" fillId="2" borderId="62" xfId="1" applyNumberFormat="1" applyFont="1" applyFill="1" applyBorder="1" applyAlignment="1">
      <alignment horizontal="right" vertical="center" wrapText="1"/>
    </xf>
    <xf numFmtId="41" fontId="4" fillId="2" borderId="15" xfId="1" applyNumberFormat="1" applyFont="1" applyFill="1" applyBorder="1" applyAlignment="1">
      <alignment horizontal="right" vertical="center" wrapText="1"/>
    </xf>
    <xf numFmtId="41" fontId="0" fillId="6" borderId="78" xfId="1" applyNumberFormat="1" applyFont="1" applyFill="1" applyBorder="1" applyAlignment="1">
      <alignment vertical="center"/>
    </xf>
    <xf numFmtId="41" fontId="4" fillId="2" borderId="76" xfId="1" applyNumberFormat="1" applyFont="1" applyFill="1" applyBorder="1" applyAlignment="1">
      <alignment horizontal="right" vertical="center" wrapText="1"/>
    </xf>
    <xf numFmtId="41" fontId="0" fillId="6" borderId="78" xfId="1" applyNumberFormat="1" applyFont="1" applyFill="1" applyBorder="1" applyAlignment="1">
      <alignment vertical="center"/>
    </xf>
    <xf numFmtId="177" fontId="4" fillId="2" borderId="8" xfId="3" applyNumberFormat="1" applyFont="1" applyFill="1" applyBorder="1" applyAlignment="1">
      <alignment horizontal="right" vertical="center" wrapText="1"/>
    </xf>
    <xf numFmtId="41" fontId="0" fillId="2" borderId="9" xfId="1" applyNumberFormat="1" applyFont="1" applyFill="1" applyBorder="1" applyAlignment="1">
      <alignment horizontal="right" vertical="center" wrapText="1"/>
    </xf>
    <xf numFmtId="41" fontId="4" fillId="2" borderId="30" xfId="1" applyNumberFormat="1" applyFont="1" applyFill="1" applyBorder="1" applyAlignment="1">
      <alignment horizontal="right" vertical="center" wrapText="1"/>
    </xf>
    <xf numFmtId="41" fontId="0" fillId="2" borderId="3" xfId="3" applyNumberFormat="1" applyFont="1" applyFill="1" applyBorder="1" applyAlignment="1">
      <alignment horizontal="right" vertical="center" wrapText="1"/>
    </xf>
    <xf numFmtId="41" fontId="0" fillId="2" borderId="81" xfId="3" applyNumberFormat="1" applyFont="1" applyFill="1" applyBorder="1" applyAlignment="1">
      <alignment horizontal="right" vertical="center" wrapText="1"/>
    </xf>
    <xf numFmtId="41" fontId="4" fillId="2" borderId="10" xfId="3" applyNumberFormat="1" applyFont="1" applyFill="1" applyBorder="1" applyAlignment="1">
      <alignment horizontal="right" vertical="center" wrapText="1"/>
    </xf>
    <xf numFmtId="41" fontId="0" fillId="2" borderId="1" xfId="3" applyNumberFormat="1" applyFont="1" applyFill="1" applyBorder="1" applyAlignment="1">
      <alignment horizontal="right" vertical="center" wrapText="1"/>
    </xf>
    <xf numFmtId="41" fontId="0" fillId="2" borderId="9" xfId="3" applyNumberFormat="1" applyFont="1" applyFill="1" applyBorder="1" applyAlignment="1">
      <alignment horizontal="right" vertical="center" wrapText="1"/>
    </xf>
    <xf numFmtId="177" fontId="0" fillId="2" borderId="100" xfId="3" applyNumberFormat="1" applyFont="1" applyFill="1" applyBorder="1" applyAlignment="1">
      <alignment horizontal="right" vertical="center" wrapText="1"/>
    </xf>
    <xf numFmtId="177" fontId="0" fillId="2" borderId="123" xfId="3" applyNumberFormat="1" applyFont="1" applyFill="1" applyBorder="1" applyAlignment="1">
      <alignment horizontal="right" vertical="center" wrapText="1"/>
    </xf>
    <xf numFmtId="177" fontId="4" fillId="2" borderId="10" xfId="3" applyNumberFormat="1" applyFont="1" applyFill="1" applyBorder="1" applyAlignment="1">
      <alignment horizontal="right" vertical="center" wrapText="1"/>
    </xf>
    <xf numFmtId="177" fontId="0" fillId="4" borderId="43" xfId="3" applyNumberFormat="1" applyFont="1" applyFill="1" applyBorder="1" applyAlignment="1">
      <alignment horizontal="right" vertical="center" wrapText="1"/>
    </xf>
    <xf numFmtId="41" fontId="4" fillId="2" borderId="123" xfId="3" applyNumberFormat="1" applyFont="1" applyFill="1" applyBorder="1" applyAlignment="1">
      <alignment horizontal="right" vertical="center" wrapText="1"/>
    </xf>
    <xf numFmtId="41" fontId="4" fillId="2" borderId="123" xfId="2" applyNumberFormat="1" applyFont="1" applyFill="1" applyBorder="1" applyAlignment="1">
      <alignment horizontal="right" vertical="center" wrapText="1"/>
    </xf>
    <xf numFmtId="176" fontId="4" fillId="2" borderId="123" xfId="3" applyNumberFormat="1" applyFont="1" applyFill="1" applyBorder="1" applyAlignment="1">
      <alignment horizontal="right" vertical="center" wrapText="1"/>
    </xf>
    <xf numFmtId="177" fontId="4" fillId="4" borderId="13" xfId="3" applyNumberFormat="1" applyFont="1" applyFill="1" applyBorder="1" applyAlignment="1">
      <alignment horizontal="right" vertical="center" wrapText="1"/>
    </xf>
    <xf numFmtId="41" fontId="4" fillId="2" borderId="3" xfId="1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left" vertical="top" wrapText="1"/>
    </xf>
    <xf numFmtId="176" fontId="0" fillId="2" borderId="58" xfId="0" applyNumberFormat="1" applyFont="1" applyFill="1" applyBorder="1" applyAlignment="1">
      <alignment horizontal="right" vertical="center"/>
    </xf>
    <xf numFmtId="176" fontId="0" fillId="2" borderId="49" xfId="0" applyNumberFormat="1" applyFont="1" applyFill="1" applyBorder="1" applyAlignment="1">
      <alignment horizontal="right" vertical="center"/>
    </xf>
    <xf numFmtId="41" fontId="4" fillId="2" borderId="146" xfId="0" applyNumberFormat="1" applyFont="1" applyFill="1" applyBorder="1" applyAlignment="1">
      <alignment horizontal="right" vertical="center"/>
    </xf>
    <xf numFmtId="176" fontId="4" fillId="2" borderId="147" xfId="0" applyNumberFormat="1" applyFont="1" applyFill="1" applyBorder="1" applyAlignment="1">
      <alignment horizontal="right" vertical="center"/>
    </xf>
    <xf numFmtId="41" fontId="4" fillId="2" borderId="74" xfId="1" applyNumberFormat="1" applyFont="1" applyFill="1" applyBorder="1" applyAlignment="1">
      <alignment horizontal="right" vertical="center"/>
    </xf>
    <xf numFmtId="177" fontId="4" fillId="2" borderId="123" xfId="3" applyNumberFormat="1" applyFont="1" applyFill="1" applyBorder="1" applyAlignment="1">
      <alignment horizontal="right" vertical="center" wrapText="1"/>
    </xf>
    <xf numFmtId="177" fontId="4" fillId="2" borderId="109" xfId="3" applyNumberFormat="1" applyFont="1" applyFill="1" applyBorder="1" applyAlignment="1">
      <alignment horizontal="right" vertical="center" wrapText="1"/>
    </xf>
    <xf numFmtId="0" fontId="4" fillId="2" borderId="74" xfId="0" applyNumberFormat="1" applyFont="1" applyFill="1" applyBorder="1" applyAlignment="1">
      <alignment horizontal="right" vertical="center"/>
    </xf>
    <xf numFmtId="176" fontId="0" fillId="2" borderId="14" xfId="0" applyNumberFormat="1" applyFont="1" applyFill="1" applyBorder="1" applyAlignment="1">
      <alignment horizontal="left" vertical="center"/>
    </xf>
    <xf numFmtId="41" fontId="0" fillId="2" borderId="83" xfId="3" applyNumberFormat="1" applyFont="1" applyFill="1" applyBorder="1" applyAlignment="1">
      <alignment vertical="center" wrapText="1"/>
    </xf>
    <xf numFmtId="41" fontId="0" fillId="2" borderId="84" xfId="3" applyNumberFormat="1" applyFont="1" applyFill="1" applyBorder="1" applyAlignment="1">
      <alignment vertical="center" wrapText="1"/>
    </xf>
    <xf numFmtId="176" fontId="4" fillId="2" borderId="3" xfId="3" applyNumberFormat="1" applyFont="1" applyFill="1" applyBorder="1" applyAlignment="1">
      <alignment horizontal="right" vertical="center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4" fillId="2" borderId="87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41" fontId="0" fillId="2" borderId="1" xfId="6" applyNumberFormat="1" applyFont="1" applyFill="1" applyBorder="1">
      <alignment vertical="center"/>
    </xf>
    <xf numFmtId="41" fontId="0" fillId="2" borderId="3" xfId="6" applyNumberFormat="1" applyFont="1" applyFill="1" applyBorder="1">
      <alignment vertical="center"/>
    </xf>
    <xf numFmtId="41" fontId="0" fillId="2" borderId="19" xfId="6" applyNumberFormat="1" applyFont="1" applyFill="1" applyBorder="1">
      <alignment vertical="center"/>
    </xf>
    <xf numFmtId="41" fontId="4" fillId="2" borderId="10" xfId="6" applyNumberFormat="1" applyFont="1" applyFill="1" applyBorder="1">
      <alignment vertical="center"/>
    </xf>
    <xf numFmtId="41" fontId="4" fillId="2" borderId="10" xfId="6" applyNumberFormat="1" applyFont="1" applyFill="1" applyBorder="1">
      <alignment vertical="center"/>
    </xf>
    <xf numFmtId="41" fontId="0" fillId="2" borderId="1" xfId="6" applyNumberFormat="1" applyFont="1" applyFill="1" applyBorder="1">
      <alignment vertical="center"/>
    </xf>
    <xf numFmtId="41" fontId="0" fillId="2" borderId="3" xfId="6" applyNumberFormat="1" applyFont="1" applyFill="1" applyBorder="1">
      <alignment vertical="center"/>
    </xf>
    <xf numFmtId="41" fontId="4" fillId="2" borderId="8" xfId="6" applyNumberFormat="1" applyFont="1" applyFill="1" applyBorder="1">
      <alignment vertical="center"/>
    </xf>
    <xf numFmtId="41" fontId="4" fillId="2" borderId="8" xfId="6" applyNumberFormat="1" applyFont="1" applyFill="1" applyBorder="1">
      <alignment vertical="center"/>
    </xf>
    <xf numFmtId="41" fontId="0" fillId="2" borderId="9" xfId="6" applyNumberFormat="1" applyFont="1" applyFill="1" applyBorder="1">
      <alignment vertical="center"/>
    </xf>
    <xf numFmtId="41" fontId="4" fillId="2" borderId="20" xfId="5" applyNumberFormat="1" applyFont="1" applyFill="1" applyBorder="1">
      <alignment vertical="center"/>
    </xf>
    <xf numFmtId="41" fontId="4" fillId="2" borderId="20" xfId="5" applyNumberFormat="1" applyFont="1" applyFill="1" applyBorder="1">
      <alignment vertical="center"/>
    </xf>
    <xf numFmtId="41" fontId="4" fillId="2" borderId="3" xfId="6" applyNumberFormat="1" applyFont="1" applyFill="1" applyBorder="1">
      <alignment vertical="center"/>
    </xf>
    <xf numFmtId="41" fontId="4" fillId="2" borderId="3" xfId="6" applyNumberFormat="1" applyFont="1" applyFill="1" applyBorder="1">
      <alignment vertical="center"/>
    </xf>
    <xf numFmtId="41" fontId="4" fillId="2" borderId="27" xfId="5" applyNumberFormat="1" applyFont="1" applyFill="1" applyBorder="1">
      <alignment vertical="center"/>
    </xf>
    <xf numFmtId="41" fontId="4" fillId="2" borderId="27" xfId="5" applyNumberFormat="1" applyFont="1" applyFill="1" applyBorder="1">
      <alignment vertical="center"/>
    </xf>
    <xf numFmtId="41" fontId="0" fillId="2" borderId="23" xfId="6" applyNumberFormat="1" applyFont="1" applyFill="1" applyBorder="1">
      <alignment vertical="center"/>
    </xf>
    <xf numFmtId="41" fontId="0" fillId="2" borderId="98" xfId="5" applyNumberFormat="1" applyFont="1" applyFill="1" applyBorder="1">
      <alignment vertical="center"/>
    </xf>
    <xf numFmtId="41" fontId="4" fillId="5" borderId="43" xfId="5" applyNumberFormat="1" applyFont="1" applyFill="1" applyBorder="1">
      <alignment vertical="center"/>
    </xf>
    <xf numFmtId="41" fontId="0" fillId="2" borderId="19" xfId="6" applyNumberFormat="1" applyFont="1" applyFill="1" applyBorder="1">
      <alignment vertical="center"/>
    </xf>
    <xf numFmtId="41" fontId="4" fillId="2" borderId="9" xfId="6" applyNumberFormat="1" applyFont="1" applyFill="1" applyBorder="1">
      <alignment vertical="center"/>
    </xf>
    <xf numFmtId="41" fontId="0" fillId="2" borderId="9" xfId="6" applyNumberFormat="1" applyFont="1" applyFill="1" applyBorder="1">
      <alignment vertical="center"/>
    </xf>
    <xf numFmtId="41" fontId="0" fillId="2" borderId="1" xfId="6" applyNumberFormat="1" applyFont="1" applyFill="1" applyBorder="1">
      <alignment vertical="center"/>
    </xf>
    <xf numFmtId="41" fontId="0" fillId="2" borderId="3" xfId="6" applyNumberFormat="1" applyFont="1" applyFill="1" applyBorder="1">
      <alignment vertical="center"/>
    </xf>
    <xf numFmtId="41" fontId="0" fillId="2" borderId="1" xfId="5" applyNumberFormat="1" applyFont="1" applyFill="1" applyBorder="1">
      <alignment vertical="center"/>
    </xf>
    <xf numFmtId="41" fontId="0" fillId="2" borderId="9" xfId="5" applyNumberFormat="1" applyFont="1" applyFill="1" applyBorder="1">
      <alignment vertical="center"/>
    </xf>
    <xf numFmtId="41" fontId="0" fillId="2" borderId="3" xfId="5" applyNumberFormat="1" applyFont="1" applyFill="1" applyBorder="1">
      <alignment vertical="center"/>
    </xf>
    <xf numFmtId="41" fontId="0" fillId="2" borderId="8" xfId="5" applyNumberFormat="1" applyFont="1" applyFill="1" applyBorder="1">
      <alignment vertical="center"/>
    </xf>
    <xf numFmtId="41" fontId="0" fillId="2" borderId="23" xfId="6" applyNumberFormat="1" applyFont="1" applyFill="1" applyBorder="1">
      <alignment vertical="center"/>
    </xf>
    <xf numFmtId="41" fontId="0" fillId="2" borderId="98" xfId="5" applyNumberFormat="1" applyFont="1" applyFill="1" applyBorder="1">
      <alignment vertical="center"/>
    </xf>
    <xf numFmtId="41" fontId="0" fillId="2" borderId="30" xfId="5" applyNumberFormat="1" applyFont="1" applyFill="1" applyBorder="1">
      <alignment vertical="center"/>
    </xf>
    <xf numFmtId="177" fontId="0" fillId="2" borderId="9" xfId="6" applyNumberFormat="1" applyFont="1" applyFill="1" applyBorder="1" applyAlignment="1">
      <alignment horizontal="center" vertical="center"/>
    </xf>
    <xf numFmtId="177" fontId="0" fillId="2" borderId="8" xfId="6" applyNumberFormat="1" applyFont="1" applyFill="1" applyBorder="1" applyAlignment="1">
      <alignment horizontal="center" vertical="center"/>
    </xf>
    <xf numFmtId="177" fontId="4" fillId="2" borderId="123" xfId="6" applyNumberFormat="1" applyFont="1" applyFill="1" applyBorder="1" applyAlignment="1">
      <alignment horizontal="center" vertical="center"/>
    </xf>
    <xf numFmtId="177" fontId="4" fillId="2" borderId="109" xfId="6" applyNumberFormat="1" applyFont="1" applyFill="1" applyBorder="1" applyAlignment="1">
      <alignment horizontal="center" vertical="center"/>
    </xf>
    <xf numFmtId="177" fontId="0" fillId="2" borderId="109" xfId="6" applyNumberFormat="1" applyFont="1" applyFill="1" applyBorder="1" applyAlignment="1">
      <alignment horizontal="center" vertical="center"/>
    </xf>
    <xf numFmtId="177" fontId="4" fillId="2" borderId="27" xfId="6" applyNumberFormat="1" applyFont="1" applyFill="1" applyBorder="1" applyAlignment="1">
      <alignment horizontal="center" vertical="center"/>
    </xf>
    <xf numFmtId="177" fontId="0" fillId="2" borderId="1" xfId="6" applyNumberFormat="1" applyFont="1" applyFill="1" applyBorder="1" applyAlignment="1">
      <alignment horizontal="center" vertical="center"/>
    </xf>
    <xf numFmtId="177" fontId="4" fillId="5" borderId="44" xfId="5" applyNumberFormat="1" applyFont="1" applyFill="1" applyBorder="1" applyAlignment="1">
      <alignment horizontal="center" vertical="center"/>
    </xf>
    <xf numFmtId="49" fontId="7" fillId="2" borderId="6" xfId="6" applyNumberFormat="1" applyFont="1" applyFill="1" applyBorder="1" applyAlignment="1">
      <alignment horizontal="left" vertical="center" wrapText="1"/>
    </xf>
    <xf numFmtId="49" fontId="7" fillId="2" borderId="5" xfId="5" applyNumberFormat="1" applyFont="1" applyFill="1" applyBorder="1" applyAlignment="1">
      <alignment horizontal="left" vertical="center"/>
    </xf>
    <xf numFmtId="49" fontId="7" fillId="2" borderId="2" xfId="5" applyNumberFormat="1" applyFont="1" applyFill="1" applyBorder="1" applyAlignment="1">
      <alignment horizontal="left" vertical="center"/>
    </xf>
    <xf numFmtId="49" fontId="7" fillId="2" borderId="7" xfId="5" applyNumberFormat="1" applyFont="1" applyFill="1" applyBorder="1" applyAlignment="1">
      <alignment horizontal="left" vertical="center"/>
    </xf>
    <xf numFmtId="49" fontId="7" fillId="2" borderId="11" xfId="5" applyNumberFormat="1" applyFont="1" applyFill="1" applyBorder="1" applyAlignment="1">
      <alignment horizontal="left" vertical="center"/>
    </xf>
    <xf numFmtId="49" fontId="7" fillId="2" borderId="6" xfId="5" applyNumberFormat="1" applyFont="1" applyFill="1" applyBorder="1" applyAlignment="1">
      <alignment horizontal="left" vertical="center"/>
    </xf>
    <xf numFmtId="49" fontId="7" fillId="2" borderId="25" xfId="5" applyNumberFormat="1" applyFont="1" applyFill="1" applyBorder="1" applyAlignment="1">
      <alignment horizontal="left" vertical="center"/>
    </xf>
    <xf numFmtId="49" fontId="7" fillId="2" borderId="39" xfId="5" applyNumberFormat="1" applyFont="1" applyFill="1" applyBorder="1" applyAlignment="1">
      <alignment horizontal="left" vertical="center"/>
    </xf>
    <xf numFmtId="49" fontId="7" fillId="2" borderId="25" xfId="6" applyNumberFormat="1" applyFont="1" applyFill="1" applyBorder="1" applyAlignment="1">
      <alignment horizontal="left" vertical="center" wrapText="1"/>
    </xf>
    <xf numFmtId="49" fontId="7" fillId="2" borderId="6" xfId="6" applyNumberFormat="1" applyFont="1" applyFill="1" applyBorder="1" applyAlignment="1">
      <alignment horizontal="left" vertical="center" wrapText="1"/>
    </xf>
    <xf numFmtId="49" fontId="7" fillId="2" borderId="7" xfId="6" applyNumberFormat="1" applyFont="1" applyFill="1" applyBorder="1" applyAlignment="1">
      <alignment horizontal="left" vertical="center" wrapText="1"/>
    </xf>
    <xf numFmtId="49" fontId="7" fillId="5" borderId="16" xfId="5" applyNumberFormat="1" applyFont="1" applyFill="1" applyBorder="1" applyAlignment="1">
      <alignment horizontal="left" vertical="center"/>
    </xf>
    <xf numFmtId="49" fontId="7" fillId="2" borderId="6" xfId="5" applyNumberFormat="1" applyFont="1" applyFill="1" applyBorder="1" applyAlignment="1">
      <alignment horizontal="left" vertical="center" wrapText="1"/>
    </xf>
    <xf numFmtId="49" fontId="7" fillId="2" borderId="6" xfId="5" applyNumberFormat="1" applyFont="1" applyFill="1" applyBorder="1" applyAlignment="1">
      <alignment horizontal="left" vertical="center" wrapText="1"/>
    </xf>
    <xf numFmtId="49" fontId="7" fillId="2" borderId="25" xfId="5" applyNumberFormat="1" applyFont="1" applyFill="1" applyBorder="1" applyAlignment="1">
      <alignment horizontal="left" vertical="center" wrapText="1"/>
    </xf>
    <xf numFmtId="49" fontId="7" fillId="2" borderId="22" xfId="5" applyNumberFormat="1" applyFont="1" applyFill="1" applyBorder="1" applyAlignment="1">
      <alignment horizontal="left" vertical="center" wrapText="1"/>
    </xf>
    <xf numFmtId="49" fontId="7" fillId="2" borderId="24" xfId="5" applyNumberFormat="1" applyFont="1" applyFill="1" applyBorder="1" applyAlignment="1">
      <alignment horizontal="left" vertical="center" wrapText="1"/>
    </xf>
    <xf numFmtId="41" fontId="23" fillId="2" borderId="9" xfId="5" applyNumberFormat="1" applyFill="1" applyBorder="1" applyAlignment="1">
      <alignment horizontal="center" vertical="center"/>
    </xf>
    <xf numFmtId="41" fontId="23" fillId="2" borderId="3" xfId="5" applyNumberFormat="1" applyFill="1" applyBorder="1" applyAlignment="1">
      <alignment horizontal="center" vertical="center"/>
    </xf>
    <xf numFmtId="177" fontId="23" fillId="2" borderId="78" xfId="5" applyNumberFormat="1" applyFill="1" applyBorder="1" applyAlignment="1">
      <alignment horizontal="center" vertical="center"/>
    </xf>
    <xf numFmtId="177" fontId="23" fillId="2" borderId="41" xfId="5" applyNumberFormat="1" applyFill="1" applyBorder="1" applyAlignment="1">
      <alignment horizontal="center" vertical="center"/>
    </xf>
    <xf numFmtId="177" fontId="4" fillId="2" borderId="74" xfId="5" applyNumberFormat="1" applyFont="1" applyFill="1" applyBorder="1" applyAlignment="1">
      <alignment horizontal="center" vertical="center"/>
    </xf>
    <xf numFmtId="41" fontId="4" fillId="2" borderId="10" xfId="6" applyNumberFormat="1" applyFont="1" applyFill="1" applyBorder="1" applyAlignment="1">
      <alignment horizontal="center" vertical="center"/>
    </xf>
    <xf numFmtId="41" fontId="23" fillId="2" borderId="1" xfId="6" applyNumberFormat="1" applyFill="1" applyBorder="1" applyAlignment="1">
      <alignment horizontal="center" vertical="center"/>
    </xf>
    <xf numFmtId="41" fontId="0" fillId="2" borderId="3" xfId="6" applyNumberFormat="1" applyFont="1" applyFill="1" applyBorder="1" applyAlignment="1">
      <alignment horizontal="center" vertical="center"/>
    </xf>
    <xf numFmtId="41" fontId="23" fillId="2" borderId="3" xfId="6" applyNumberFormat="1" applyFill="1" applyBorder="1" applyAlignment="1">
      <alignment horizontal="center" vertical="center"/>
    </xf>
    <xf numFmtId="41" fontId="23" fillId="2" borderId="9" xfId="6" applyNumberFormat="1" applyFill="1" applyBorder="1" applyAlignment="1">
      <alignment horizontal="center" vertical="center"/>
    </xf>
    <xf numFmtId="41" fontId="0" fillId="2" borderId="12" xfId="6" applyNumberFormat="1" applyFont="1" applyFill="1" applyBorder="1" applyAlignment="1">
      <alignment horizontal="center" vertical="center"/>
    </xf>
    <xf numFmtId="41" fontId="23" fillId="2" borderId="12" xfId="6" applyNumberFormat="1" applyFill="1" applyBorder="1" applyAlignment="1">
      <alignment horizontal="center" vertical="center"/>
    </xf>
    <xf numFmtId="41" fontId="0" fillId="2" borderId="4" xfId="6" applyNumberFormat="1" applyFont="1" applyFill="1" applyBorder="1" applyAlignment="1">
      <alignment horizontal="center" vertical="center"/>
    </xf>
    <xf numFmtId="41" fontId="23" fillId="2" borderId="4" xfId="6" applyNumberFormat="1" applyFill="1" applyBorder="1" applyAlignment="1">
      <alignment horizontal="center" vertical="center"/>
    </xf>
    <xf numFmtId="41" fontId="4" fillId="2" borderId="20" xfId="6" applyNumberFormat="1" applyFont="1" applyFill="1" applyBorder="1" applyAlignment="1">
      <alignment horizontal="center" vertical="center"/>
    </xf>
    <xf numFmtId="41" fontId="4" fillId="2" borderId="20" xfId="6" applyNumberFormat="1" applyFont="1" applyFill="1" applyBorder="1" applyAlignment="1">
      <alignment horizontal="center" vertical="center"/>
    </xf>
    <xf numFmtId="41" fontId="0" fillId="2" borderId="21" xfId="6" applyNumberFormat="1" applyFont="1" applyFill="1" applyBorder="1" applyAlignment="1">
      <alignment horizontal="center" vertical="center"/>
    </xf>
    <xf numFmtId="41" fontId="23" fillId="2" borderId="21" xfId="6" applyNumberFormat="1" applyFill="1" applyBorder="1" applyAlignment="1">
      <alignment horizontal="center" vertical="center"/>
    </xf>
    <xf numFmtId="41" fontId="23" fillId="2" borderId="122" xfId="6" applyNumberFormat="1" applyFill="1" applyBorder="1" applyAlignment="1">
      <alignment horizontal="center" vertical="center"/>
    </xf>
    <xf numFmtId="41" fontId="0" fillId="2" borderId="41" xfId="6" applyNumberFormat="1" applyFont="1" applyFill="1" applyBorder="1" applyAlignment="1">
      <alignment horizontal="center" vertical="center"/>
    </xf>
    <xf numFmtId="41" fontId="23" fillId="2" borderId="30" xfId="6" applyNumberFormat="1" applyFill="1" applyBorder="1" applyAlignment="1">
      <alignment horizontal="center" vertical="center"/>
    </xf>
    <xf numFmtId="41" fontId="23" fillId="2" borderId="41" xfId="6" applyNumberFormat="1" applyFill="1" applyBorder="1" applyAlignment="1">
      <alignment horizontal="center" vertical="center"/>
    </xf>
    <xf numFmtId="41" fontId="0" fillId="2" borderId="68" xfId="6" applyNumberFormat="1" applyFont="1" applyFill="1" applyBorder="1" applyAlignment="1">
      <alignment horizontal="center" vertical="center"/>
    </xf>
    <xf numFmtId="41" fontId="23" fillId="2" borderId="68" xfId="6" applyNumberFormat="1" applyFill="1" applyBorder="1" applyAlignment="1">
      <alignment horizontal="center" vertical="center"/>
    </xf>
    <xf numFmtId="41" fontId="4" fillId="2" borderId="118" xfId="6" applyNumberFormat="1" applyFont="1" applyFill="1" applyBorder="1" applyAlignment="1">
      <alignment horizontal="center" vertical="center"/>
    </xf>
    <xf numFmtId="41" fontId="4" fillId="2" borderId="118" xfId="6" applyNumberFormat="1" applyFont="1" applyFill="1" applyBorder="1" applyAlignment="1">
      <alignment horizontal="center" vertical="center"/>
    </xf>
    <xf numFmtId="41" fontId="4" fillId="2" borderId="73" xfId="6" applyNumberFormat="1" applyFont="1" applyFill="1" applyBorder="1" applyAlignment="1">
      <alignment horizontal="center" vertical="center"/>
    </xf>
    <xf numFmtId="41" fontId="0" fillId="2" borderId="46" xfId="6" applyNumberFormat="1" applyFont="1" applyFill="1" applyBorder="1" applyAlignment="1">
      <alignment horizontal="center" vertical="center"/>
    </xf>
    <xf numFmtId="41" fontId="23" fillId="2" borderId="46" xfId="6" applyNumberFormat="1" applyFill="1" applyBorder="1" applyAlignment="1">
      <alignment horizontal="center" vertical="center"/>
    </xf>
    <xf numFmtId="41" fontId="0" fillId="2" borderId="35" xfId="5" applyNumberFormat="1" applyFont="1" applyFill="1" applyBorder="1" applyAlignment="1">
      <alignment horizontal="center" vertical="center"/>
    </xf>
    <xf numFmtId="41" fontId="23" fillId="2" borderId="35" xfId="5" applyNumberFormat="1" applyFill="1" applyBorder="1" applyAlignment="1">
      <alignment horizontal="center" vertical="center"/>
    </xf>
    <xf numFmtId="41" fontId="0" fillId="2" borderId="15" xfId="6" applyNumberFormat="1" applyFont="1" applyFill="1" applyBorder="1" applyAlignment="1">
      <alignment horizontal="center" vertical="center"/>
    </xf>
    <xf numFmtId="41" fontId="23" fillId="2" borderId="15" xfId="6" applyNumberFormat="1" applyFill="1" applyBorder="1" applyAlignment="1">
      <alignment horizontal="center" vertical="center"/>
    </xf>
    <xf numFmtId="41" fontId="4" fillId="2" borderId="62" xfId="5" applyNumberFormat="1" applyFont="1" applyFill="1" applyBorder="1" applyAlignment="1">
      <alignment horizontal="center" vertical="center"/>
    </xf>
    <xf numFmtId="41" fontId="4" fillId="2" borderId="3" xfId="5" applyNumberFormat="1" applyFont="1" applyFill="1" applyBorder="1" applyAlignment="1">
      <alignment horizontal="center" vertical="center"/>
    </xf>
    <xf numFmtId="41" fontId="4" fillId="2" borderId="8" xfId="5" applyNumberFormat="1" applyFont="1" applyFill="1" applyBorder="1" applyAlignment="1">
      <alignment horizontal="center" vertical="center"/>
    </xf>
    <xf numFmtId="41" fontId="0" fillId="2" borderId="127" xfId="6" applyNumberFormat="1" applyFont="1" applyFill="1" applyBorder="1" applyAlignment="1">
      <alignment horizontal="center" vertical="center"/>
    </xf>
    <xf numFmtId="41" fontId="23" fillId="2" borderId="127" xfId="6" applyNumberFormat="1" applyFill="1" applyBorder="1" applyAlignment="1">
      <alignment horizontal="center" vertical="center"/>
    </xf>
    <xf numFmtId="41" fontId="4" fillId="2" borderId="62" xfId="6" applyNumberFormat="1" applyFont="1" applyFill="1" applyBorder="1" applyAlignment="1">
      <alignment horizontal="center" vertical="center"/>
    </xf>
    <xf numFmtId="41" fontId="0" fillId="2" borderId="124" xfId="6" applyNumberFormat="1" applyFont="1" applyFill="1" applyBorder="1" applyAlignment="1">
      <alignment horizontal="center" vertical="center"/>
    </xf>
    <xf numFmtId="41" fontId="23" fillId="2" borderId="124" xfId="6" applyNumberFormat="1" applyFill="1" applyBorder="1" applyAlignment="1">
      <alignment horizontal="center" vertical="center"/>
    </xf>
    <xf numFmtId="41" fontId="0" fillId="2" borderId="69" xfId="6" applyNumberFormat="1" applyFont="1" applyFill="1" applyBorder="1" applyAlignment="1">
      <alignment horizontal="center" vertical="center"/>
    </xf>
    <xf numFmtId="41" fontId="23" fillId="2" borderId="69" xfId="6" applyNumberFormat="1" applyFill="1" applyBorder="1" applyAlignment="1">
      <alignment horizontal="center" vertical="center"/>
    </xf>
    <xf numFmtId="41" fontId="4" fillId="2" borderId="73" xfId="5" applyNumberFormat="1" applyFont="1" applyFill="1" applyBorder="1" applyAlignment="1">
      <alignment horizontal="center" vertical="center"/>
    </xf>
    <xf numFmtId="41" fontId="23" fillId="2" borderId="47" xfId="5" applyNumberFormat="1" applyFill="1" applyBorder="1" applyAlignment="1">
      <alignment horizontal="center" vertical="center"/>
    </xf>
    <xf numFmtId="41" fontId="23" fillId="2" borderId="49" xfId="6" applyNumberFormat="1" applyFill="1" applyBorder="1" applyAlignment="1">
      <alignment horizontal="center" vertical="center"/>
    </xf>
    <xf numFmtId="41" fontId="23" fillId="2" borderId="40" xfId="5" applyNumberFormat="1" applyFill="1" applyBorder="1" applyAlignment="1">
      <alignment horizontal="center" vertical="center"/>
    </xf>
    <xf numFmtId="41" fontId="4" fillId="4" borderId="43" xfId="5" applyNumberFormat="1" applyFont="1" applyFill="1" applyBorder="1" applyAlignment="1">
      <alignment horizontal="center" vertical="center"/>
    </xf>
    <xf numFmtId="177" fontId="4" fillId="2" borderId="41" xfId="5" applyNumberFormat="1" applyFont="1" applyFill="1" applyBorder="1" applyAlignment="1">
      <alignment horizontal="center" vertical="center"/>
    </xf>
    <xf numFmtId="177" fontId="4" fillId="2" borderId="129" xfId="5" applyNumberFormat="1" applyFont="1" applyFill="1" applyBorder="1" applyAlignment="1">
      <alignment horizontal="center" vertical="center"/>
    </xf>
    <xf numFmtId="9" fontId="23" fillId="2" borderId="78" xfId="5" applyNumberFormat="1" applyFill="1" applyBorder="1" applyAlignment="1">
      <alignment horizontal="center" vertical="center"/>
    </xf>
    <xf numFmtId="9" fontId="23" fillId="2" borderId="41" xfId="5" applyNumberFormat="1" applyFill="1" applyBorder="1" applyAlignment="1">
      <alignment horizontal="center" vertical="center"/>
    </xf>
    <xf numFmtId="9" fontId="23" fillId="2" borderId="44" xfId="5" applyNumberFormat="1" applyFill="1" applyBorder="1" applyAlignment="1">
      <alignment horizontal="center" vertical="center"/>
    </xf>
    <xf numFmtId="177" fontId="4" fillId="2" borderId="73" xfId="5" applyNumberFormat="1" applyFont="1" applyFill="1" applyBorder="1" applyAlignment="1">
      <alignment horizontal="center" vertical="center"/>
    </xf>
    <xf numFmtId="9" fontId="4" fillId="2" borderId="73" xfId="5" applyNumberFormat="1" applyFont="1" applyFill="1" applyBorder="1" applyAlignment="1">
      <alignment horizontal="center" vertical="center"/>
    </xf>
    <xf numFmtId="177" fontId="4" fillId="4" borderId="44" xfId="5" applyNumberFormat="1" applyFont="1" applyFill="1" applyBorder="1" applyAlignment="1">
      <alignment horizontal="center" vertical="center"/>
    </xf>
    <xf numFmtId="49" fontId="7" fillId="2" borderId="5" xfId="5" applyNumberFormat="1" applyFont="1" applyFill="1" applyBorder="1" applyAlignment="1">
      <alignment horizontal="left" vertical="center"/>
    </xf>
    <xf numFmtId="49" fontId="7" fillId="2" borderId="7" xfId="5" applyNumberFormat="1" applyFont="1" applyFill="1" applyBorder="1" applyAlignment="1">
      <alignment horizontal="left" vertical="center"/>
    </xf>
    <xf numFmtId="49" fontId="7" fillId="2" borderId="11" xfId="5" applyNumberFormat="1" applyFont="1" applyFill="1" applyBorder="1" applyAlignment="1">
      <alignment horizontal="left" vertical="center"/>
    </xf>
    <xf numFmtId="49" fontId="7" fillId="2" borderId="6" xfId="5" applyNumberFormat="1" applyFont="1" applyFill="1" applyBorder="1" applyAlignment="1">
      <alignment horizontal="left" vertical="center"/>
    </xf>
    <xf numFmtId="49" fontId="7" fillId="2" borderId="25" xfId="5" applyNumberFormat="1" applyFont="1" applyFill="1" applyBorder="1" applyAlignment="1">
      <alignment horizontal="left" vertical="center"/>
    </xf>
    <xf numFmtId="49" fontId="7" fillId="2" borderId="22" xfId="5" applyNumberFormat="1" applyFont="1" applyFill="1" applyBorder="1" applyAlignment="1">
      <alignment horizontal="left" vertical="center"/>
    </xf>
    <xf numFmtId="49" fontId="7" fillId="2" borderId="133" xfId="5" applyNumberFormat="1" applyFont="1" applyFill="1" applyBorder="1" applyAlignment="1">
      <alignment horizontal="left" vertical="center"/>
    </xf>
    <xf numFmtId="49" fontId="7" fillId="2" borderId="134" xfId="5" applyNumberFormat="1" applyFont="1" applyFill="1" applyBorder="1" applyAlignment="1">
      <alignment horizontal="left" vertical="center"/>
    </xf>
    <xf numFmtId="49" fontId="7" fillId="2" borderId="14" xfId="5" applyNumberFormat="1" applyFont="1" applyFill="1" applyBorder="1" applyAlignment="1">
      <alignment horizontal="left" vertical="center"/>
    </xf>
    <xf numFmtId="49" fontId="7" fillId="4" borderId="16" xfId="5" applyNumberFormat="1" applyFont="1" applyFill="1" applyBorder="1" applyAlignment="1">
      <alignment horizontal="left" vertical="center"/>
    </xf>
    <xf numFmtId="49" fontId="7" fillId="2" borderId="6" xfId="5" applyNumberFormat="1" applyFont="1" applyFill="1" applyBorder="1" applyAlignment="1">
      <alignment horizontal="left" vertical="center" wrapText="1"/>
    </xf>
    <xf numFmtId="49" fontId="7" fillId="2" borderId="5" xfId="5" applyNumberFormat="1" applyFont="1" applyFill="1" applyBorder="1" applyAlignment="1">
      <alignment horizontal="left" vertical="center" wrapText="1"/>
    </xf>
    <xf numFmtId="49" fontId="7" fillId="2" borderId="22" xfId="5" applyNumberFormat="1" applyFont="1" applyFill="1" applyBorder="1" applyAlignment="1">
      <alignment horizontal="left" vertical="center"/>
    </xf>
    <xf numFmtId="49" fontId="7" fillId="2" borderId="5" xfId="5" applyNumberFormat="1" applyFont="1" applyFill="1" applyBorder="1" applyAlignment="1">
      <alignment horizontal="left" vertical="center"/>
    </xf>
    <xf numFmtId="49" fontId="7" fillId="2" borderId="24" xfId="5" applyNumberFormat="1" applyFont="1" applyFill="1" applyBorder="1" applyAlignment="1">
      <alignment horizontal="left" vertical="center"/>
    </xf>
    <xf numFmtId="49" fontId="7" fillId="2" borderId="6" xfId="5" applyNumberFormat="1" applyFont="1" applyFill="1" applyBorder="1" applyAlignment="1">
      <alignment horizontal="left" vertical="center"/>
    </xf>
    <xf numFmtId="49" fontId="7" fillId="2" borderId="11" xfId="5" applyNumberFormat="1" applyFont="1" applyFill="1" applyBorder="1" applyAlignment="1">
      <alignment horizontal="left" vertical="center"/>
    </xf>
    <xf numFmtId="49" fontId="7" fillId="0" borderId="5" xfId="5" applyNumberFormat="1" applyFont="1" applyBorder="1" applyAlignment="1">
      <alignment horizontal="left" vertical="center" wrapText="1"/>
    </xf>
    <xf numFmtId="49" fontId="7" fillId="0" borderId="6" xfId="5" applyNumberFormat="1" applyFont="1" applyFill="1" applyBorder="1" applyAlignment="1">
      <alignment horizontal="left" vertical="center" wrapText="1"/>
    </xf>
    <xf numFmtId="176" fontId="0" fillId="2" borderId="92" xfId="3" applyNumberFormat="1" applyFont="1" applyFill="1" applyBorder="1" applyAlignment="1">
      <alignment horizontal="right" vertical="center" wrapText="1"/>
    </xf>
    <xf numFmtId="41" fontId="4" fillId="2" borderId="73" xfId="3" applyNumberFormat="1" applyFont="1" applyFill="1" applyBorder="1" applyAlignment="1">
      <alignment horizontal="right" vertical="center" wrapText="1"/>
    </xf>
    <xf numFmtId="176" fontId="0" fillId="2" borderId="46" xfId="3" applyNumberFormat="1" applyFont="1" applyFill="1" applyBorder="1" applyAlignment="1">
      <alignment horizontal="right" vertical="center" wrapText="1"/>
    </xf>
    <xf numFmtId="176" fontId="0" fillId="2" borderId="15" xfId="3" applyNumberFormat="1" applyFont="1" applyFill="1" applyBorder="1" applyAlignment="1">
      <alignment horizontal="right" vertical="center" wrapText="1"/>
    </xf>
    <xf numFmtId="176" fontId="4" fillId="2" borderId="62" xfId="3" applyNumberFormat="1" applyFont="1" applyFill="1" applyBorder="1" applyAlignment="1">
      <alignment horizontal="right" vertical="center" wrapText="1"/>
    </xf>
    <xf numFmtId="176" fontId="0" fillId="2" borderId="35" xfId="3" applyNumberFormat="1" applyFont="1" applyFill="1" applyBorder="1" applyAlignment="1">
      <alignment horizontal="right" vertical="center" wrapText="1"/>
    </xf>
    <xf numFmtId="176" fontId="4" fillId="4" borderId="44" xfId="3" applyNumberFormat="1" applyFont="1" applyFill="1" applyBorder="1" applyAlignment="1">
      <alignment horizontal="right" vertical="center" wrapText="1"/>
    </xf>
    <xf numFmtId="41" fontId="0" fillId="2" borderId="119" xfId="3" applyNumberFormat="1" applyFont="1" applyFill="1" applyBorder="1" applyAlignment="1">
      <alignment vertical="top" wrapText="1"/>
    </xf>
    <xf numFmtId="41" fontId="0" fillId="2" borderId="65" xfId="3" applyNumberFormat="1" applyFont="1" applyFill="1" applyBorder="1" applyAlignment="1">
      <alignment vertical="top" wrapText="1"/>
    </xf>
    <xf numFmtId="41" fontId="4" fillId="2" borderId="65" xfId="3" applyNumberFormat="1" applyFont="1" applyFill="1" applyBorder="1" applyAlignment="1">
      <alignment vertical="center" wrapText="1"/>
    </xf>
    <xf numFmtId="41" fontId="4" fillId="4" borderId="148" xfId="3" applyNumberFormat="1" applyFont="1" applyFill="1" applyBorder="1" applyAlignment="1">
      <alignment horizontal="right" vertical="center" wrapText="1"/>
    </xf>
    <xf numFmtId="0" fontId="5" fillId="5" borderId="29" xfId="2" applyNumberFormat="1" applyFont="1" applyFill="1" applyBorder="1" applyAlignment="1">
      <alignment horizontal="center" vertical="center" wrapText="1"/>
    </xf>
    <xf numFmtId="0" fontId="5" fillId="5" borderId="30" xfId="2" applyNumberFormat="1" applyFont="1" applyFill="1" applyBorder="1" applyAlignment="1">
      <alignment horizontal="center" vertical="center" wrapText="1"/>
    </xf>
    <xf numFmtId="0" fontId="0" fillId="2" borderId="149" xfId="2" applyNumberFormat="1" applyFont="1" applyFill="1" applyBorder="1" applyAlignment="1">
      <alignment vertical="top" wrapText="1"/>
    </xf>
    <xf numFmtId="41" fontId="0" fillId="2" borderId="86" xfId="2" applyNumberFormat="1" applyFont="1" applyFill="1" applyBorder="1" applyAlignment="1">
      <alignment horizontal="right" vertical="center" wrapText="1"/>
    </xf>
    <xf numFmtId="41" fontId="0" fillId="2" borderId="86" xfId="3" applyNumberFormat="1" applyFont="1" applyFill="1" applyBorder="1" applyAlignment="1">
      <alignment horizontal="right" vertical="center" wrapText="1"/>
    </xf>
    <xf numFmtId="176" fontId="0" fillId="2" borderId="150" xfId="3" applyNumberFormat="1" applyFont="1" applyFill="1" applyBorder="1" applyAlignment="1">
      <alignment horizontal="right" vertical="center" wrapText="1"/>
    </xf>
    <xf numFmtId="41" fontId="0" fillId="2" borderId="89" xfId="3" applyNumberFormat="1" applyFont="1" applyFill="1" applyBorder="1" applyAlignment="1">
      <alignment vertical="top" wrapText="1"/>
    </xf>
    <xf numFmtId="41" fontId="0" fillId="2" borderId="42" xfId="2" applyNumberFormat="1" applyFont="1" applyFill="1" applyBorder="1" applyAlignment="1">
      <alignment horizontal="right" vertical="center" wrapText="1"/>
    </xf>
    <xf numFmtId="41" fontId="0" fillId="2" borderId="42" xfId="3" applyNumberFormat="1" applyFont="1" applyFill="1" applyBorder="1" applyAlignment="1">
      <alignment horizontal="right" vertical="center" wrapText="1"/>
    </xf>
    <xf numFmtId="176" fontId="0" fillId="2" borderId="68" xfId="3" applyNumberFormat="1" applyFont="1" applyFill="1" applyBorder="1" applyAlignment="1">
      <alignment horizontal="right" vertical="center" wrapText="1"/>
    </xf>
    <xf numFmtId="41" fontId="0" fillId="2" borderId="116" xfId="3" applyNumberFormat="1" applyFont="1" applyFill="1" applyBorder="1" applyAlignment="1">
      <alignment vertical="center" wrapText="1"/>
    </xf>
    <xf numFmtId="41" fontId="4" fillId="2" borderId="49" xfId="2" applyNumberFormat="1" applyFont="1" applyFill="1" applyBorder="1" applyAlignment="1">
      <alignment horizontal="right" vertical="center" wrapText="1"/>
    </xf>
    <xf numFmtId="176" fontId="4" fillId="2" borderId="68" xfId="3" applyNumberFormat="1" applyFont="1" applyFill="1" applyBorder="1" applyAlignment="1">
      <alignment horizontal="right" vertical="center" wrapText="1"/>
    </xf>
    <xf numFmtId="177" fontId="4" fillId="2" borderId="30" xfId="3" applyNumberFormat="1" applyFont="1" applyFill="1" applyBorder="1" applyAlignment="1">
      <alignment horizontal="right" vertical="center" wrapText="1"/>
    </xf>
    <xf numFmtId="41" fontId="8" fillId="2" borderId="151" xfId="3" applyNumberFormat="1" applyFont="1" applyFill="1" applyBorder="1" applyAlignment="1">
      <alignment vertical="center" wrapText="1"/>
    </xf>
    <xf numFmtId="0" fontId="0" fillId="6" borderId="77" xfId="0" applyNumberFormat="1" applyFont="1" applyFill="1" applyBorder="1" applyAlignment="1">
      <alignment horizontal="left" vertical="center" wrapText="1"/>
    </xf>
    <xf numFmtId="41" fontId="4" fillId="2" borderId="152" xfId="1" applyNumberFormat="1" applyFont="1" applyFill="1" applyBorder="1" applyAlignment="1">
      <alignment horizontal="right" vertical="center" wrapText="1"/>
    </xf>
    <xf numFmtId="176" fontId="4" fillId="2" borderId="152" xfId="2" applyNumberFormat="1" applyFont="1" applyFill="1" applyBorder="1" applyAlignment="1">
      <alignment horizontal="right" vertical="center" wrapText="1"/>
    </xf>
    <xf numFmtId="176" fontId="4" fillId="2" borderId="30" xfId="3" applyNumberFormat="1" applyFont="1" applyFill="1" applyBorder="1" applyAlignment="1">
      <alignment horizontal="right" vertical="center" wrapText="1"/>
    </xf>
    <xf numFmtId="177" fontId="0" fillId="2" borderId="152" xfId="3" applyNumberFormat="1" applyFont="1" applyFill="1" applyBorder="1" applyAlignment="1">
      <alignment horizontal="right" vertical="center" wrapText="1"/>
    </xf>
    <xf numFmtId="176" fontId="4" fillId="2" borderId="39" xfId="3" applyNumberFormat="1" applyFont="1" applyFill="1" applyBorder="1" applyAlignment="1">
      <alignment horizontal="right" vertical="center" wrapText="1"/>
    </xf>
    <xf numFmtId="176" fontId="0" fillId="2" borderId="30" xfId="3" applyNumberFormat="1" applyFont="1" applyFill="1" applyBorder="1" applyAlignment="1">
      <alignment horizontal="right" vertical="center" wrapText="1"/>
    </xf>
    <xf numFmtId="176" fontId="4" fillId="4" borderId="13" xfId="3" applyNumberFormat="1" applyFont="1" applyFill="1" applyBorder="1" applyAlignment="1">
      <alignment horizontal="right" vertical="center" wrapText="1"/>
    </xf>
    <xf numFmtId="49" fontId="7" fillId="2" borderId="2" xfId="6" applyNumberFormat="1" applyFont="1" applyFill="1" applyBorder="1" applyAlignment="1">
      <alignment horizontal="left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0" fillId="2" borderId="49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center" wrapText="1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41" fontId="0" fillId="2" borderId="24" xfId="3" applyNumberFormat="1" applyFont="1" applyFill="1" applyBorder="1" applyAlignment="1">
      <alignment vertical="center" wrapText="1"/>
    </xf>
    <xf numFmtId="180" fontId="24" fillId="12" borderId="50" xfId="0" applyNumberFormat="1" applyFont="1" applyFill="1" applyBorder="1" applyAlignment="1">
      <alignment horizontal="right" vertical="center" wrapText="1"/>
    </xf>
    <xf numFmtId="180" fontId="24" fillId="12" borderId="42" xfId="0" applyNumberFormat="1" applyFont="1" applyFill="1" applyBorder="1" applyAlignment="1">
      <alignment horizontal="right" vertical="center" wrapText="1"/>
    </xf>
    <xf numFmtId="180" fontId="24" fillId="12" borderId="142" xfId="0" applyNumberFormat="1" applyFont="1" applyFill="1" applyBorder="1" applyAlignment="1">
      <alignment horizontal="right" vertical="center" wrapText="1"/>
    </xf>
    <xf numFmtId="177" fontId="4" fillId="2" borderId="49" xfId="3" applyNumberFormat="1" applyFont="1" applyFill="1" applyBorder="1" applyAlignment="1">
      <alignment horizontal="right" vertical="center" wrapText="1"/>
    </xf>
    <xf numFmtId="0" fontId="0" fillId="2" borderId="9" xfId="2" applyNumberFormat="1" applyFont="1" applyFill="1" applyBorder="1" applyAlignment="1">
      <alignment horizontal="left" vertical="center" wrapText="1"/>
    </xf>
    <xf numFmtId="41" fontId="4" fillId="2" borderId="9" xfId="2" applyNumberFormat="1" applyFont="1" applyFill="1" applyBorder="1" applyAlignment="1">
      <alignment horizontal="right" vertical="center" wrapText="1"/>
    </xf>
    <xf numFmtId="0" fontId="4" fillId="2" borderId="1" xfId="2" applyNumberFormat="1" applyFont="1" applyFill="1" applyBorder="1" applyAlignment="1">
      <alignment horizontal="left" vertical="center" wrapText="1"/>
    </xf>
    <xf numFmtId="180" fontId="24" fillId="0" borderId="170" xfId="0" applyNumberFormat="1" applyFont="1" applyBorder="1" applyAlignment="1">
      <alignment horizontal="right" vertical="center" wrapText="1"/>
    </xf>
    <xf numFmtId="180" fontId="24" fillId="12" borderId="170" xfId="0" applyNumberFormat="1" applyFont="1" applyFill="1" applyBorder="1" applyAlignment="1">
      <alignment horizontal="right" vertical="center" wrapText="1"/>
    </xf>
    <xf numFmtId="180" fontId="24" fillId="12" borderId="4" xfId="0" applyNumberFormat="1" applyFont="1" applyFill="1" applyBorder="1" applyAlignment="1">
      <alignment horizontal="right" vertical="center" wrapText="1"/>
    </xf>
    <xf numFmtId="180" fontId="24" fillId="12" borderId="100" xfId="0" applyNumberFormat="1" applyFont="1" applyFill="1" applyBorder="1" applyAlignment="1">
      <alignment horizontal="right" vertical="center" wrapText="1"/>
    </xf>
    <xf numFmtId="180" fontId="24" fillId="12" borderId="171" xfId="0" applyNumberFormat="1" applyFont="1" applyFill="1" applyBorder="1" applyAlignment="1">
      <alignment horizontal="right" vertical="center" wrapText="1"/>
    </xf>
    <xf numFmtId="180" fontId="24" fillId="12" borderId="130" xfId="0" applyNumberFormat="1" applyFont="1" applyFill="1" applyBorder="1" applyAlignment="1">
      <alignment horizontal="right" vertical="center" wrapText="1"/>
    </xf>
    <xf numFmtId="180" fontId="24" fillId="12" borderId="172" xfId="0" applyNumberFormat="1" applyFont="1" applyFill="1" applyBorder="1" applyAlignment="1">
      <alignment horizontal="right" vertical="center" wrapText="1"/>
    </xf>
    <xf numFmtId="180" fontId="24" fillId="12" borderId="173" xfId="0" applyNumberFormat="1" applyFont="1" applyFill="1" applyBorder="1" applyAlignment="1">
      <alignment horizontal="right" vertical="center" wrapText="1"/>
    </xf>
    <xf numFmtId="177" fontId="4" fillId="2" borderId="132" xfId="3" applyNumberFormat="1" applyFont="1" applyFill="1" applyBorder="1" applyAlignment="1">
      <alignment horizontal="right" vertical="center" wrapText="1"/>
    </xf>
    <xf numFmtId="179" fontId="24" fillId="12" borderId="23" xfId="0" applyNumberFormat="1" applyFont="1" applyFill="1" applyBorder="1" applyAlignment="1">
      <alignment vertical="center" wrapText="1"/>
    </xf>
    <xf numFmtId="179" fontId="26" fillId="6" borderId="138" xfId="0" applyNumberFormat="1" applyFont="1" applyFill="1" applyBorder="1" applyAlignment="1">
      <alignment vertical="center" wrapText="1"/>
    </xf>
    <xf numFmtId="179" fontId="26" fillId="12" borderId="174" xfId="0" applyNumberFormat="1" applyFont="1" applyFill="1" applyBorder="1" applyAlignment="1">
      <alignment vertical="center" wrapText="1"/>
    </xf>
    <xf numFmtId="0" fontId="0" fillId="0" borderId="18" xfId="0" applyNumberFormat="1" applyBorder="1" applyAlignment="1">
      <alignment vertical="center"/>
    </xf>
    <xf numFmtId="0" fontId="0" fillId="0" borderId="18" xfId="0" applyNumberFormat="1" applyBorder="1">
      <alignment vertical="center"/>
    </xf>
    <xf numFmtId="179" fontId="24" fillId="12" borderId="175" xfId="0" applyNumberFormat="1" applyFont="1" applyFill="1" applyBorder="1" applyAlignment="1">
      <alignment vertical="center" wrapText="1"/>
    </xf>
    <xf numFmtId="179" fontId="24" fillId="12" borderId="41" xfId="0" applyNumberFormat="1" applyFont="1" applyFill="1" applyBorder="1" applyAlignment="1">
      <alignment vertical="center" wrapText="1"/>
    </xf>
    <xf numFmtId="177" fontId="0" fillId="2" borderId="136" xfId="3" applyNumberFormat="1" applyFont="1" applyFill="1" applyBorder="1" applyAlignment="1">
      <alignment horizontal="right" vertical="center" wrapText="1"/>
    </xf>
    <xf numFmtId="179" fontId="24" fillId="12" borderId="176" xfId="0" applyNumberFormat="1" applyFont="1" applyFill="1" applyBorder="1" applyAlignment="1">
      <alignment horizontal="left" vertical="center" wrapText="1"/>
    </xf>
    <xf numFmtId="180" fontId="26" fillId="0" borderId="36" xfId="0" applyNumberFormat="1" applyFont="1" applyBorder="1" applyAlignment="1">
      <alignment vertical="center" wrapText="1"/>
    </xf>
    <xf numFmtId="180" fontId="26" fillId="12" borderId="36" xfId="0" applyNumberFormat="1" applyFont="1" applyFill="1" applyBorder="1" applyAlignment="1">
      <alignment vertical="center" wrapText="1"/>
    </xf>
    <xf numFmtId="180" fontId="26" fillId="0" borderId="142" xfId="0" applyNumberFormat="1" applyFont="1" applyBorder="1" applyAlignment="1">
      <alignment vertical="center" wrapText="1"/>
    </xf>
    <xf numFmtId="0" fontId="24" fillId="6" borderId="77" xfId="0" applyFont="1" applyFill="1" applyBorder="1" applyAlignment="1">
      <alignment horizontal="left" vertical="center" wrapText="1"/>
    </xf>
    <xf numFmtId="180" fontId="24" fillId="6" borderId="175" xfId="0" applyNumberFormat="1" applyFont="1" applyFill="1" applyBorder="1" applyAlignment="1">
      <alignment vertical="center" wrapText="1"/>
    </xf>
    <xf numFmtId="180" fontId="24" fillId="6" borderId="142" xfId="0" applyNumberFormat="1" applyFont="1" applyFill="1" applyBorder="1" applyAlignment="1">
      <alignment vertical="center" wrapText="1"/>
    </xf>
    <xf numFmtId="180" fontId="24" fillId="12" borderId="41" xfId="0" applyNumberFormat="1" applyFont="1" applyFill="1" applyBorder="1" applyAlignment="1">
      <alignment horizontal="right" vertical="center" wrapText="1"/>
    </xf>
    <xf numFmtId="0" fontId="24" fillId="6" borderId="177" xfId="0" applyFont="1" applyFill="1" applyBorder="1" applyAlignment="1">
      <alignment vertical="center" wrapText="1"/>
    </xf>
    <xf numFmtId="0" fontId="24" fillId="6" borderId="38" xfId="0" applyFont="1" applyFill="1" applyBorder="1" applyAlignment="1">
      <alignment vertical="center" wrapText="1"/>
    </xf>
    <xf numFmtId="180" fontId="26" fillId="0" borderId="178" xfId="0" applyNumberFormat="1" applyFont="1" applyBorder="1" applyAlignment="1">
      <alignment vertical="center" wrapText="1"/>
    </xf>
    <xf numFmtId="177" fontId="4" fillId="2" borderId="8" xfId="3" applyNumberFormat="1" applyFont="1" applyFill="1" applyBorder="1" applyAlignment="1">
      <alignment horizontal="right" vertical="top" wrapText="1"/>
    </xf>
    <xf numFmtId="177" fontId="4" fillId="2" borderId="15" xfId="3" applyNumberFormat="1" applyFont="1" applyFill="1" applyBorder="1" applyAlignment="1">
      <alignment horizontal="right" vertical="top" wrapText="1"/>
    </xf>
    <xf numFmtId="180" fontId="24" fillId="12" borderId="71" xfId="0" applyNumberFormat="1" applyFont="1" applyFill="1" applyBorder="1" applyAlignment="1">
      <alignment horizontal="right" vertical="center" wrapText="1"/>
    </xf>
    <xf numFmtId="0" fontId="4" fillId="2" borderId="87" xfId="2" applyNumberFormat="1" applyFont="1" applyFill="1" applyBorder="1" applyAlignment="1">
      <alignment vertical="top" wrapText="1"/>
    </xf>
    <xf numFmtId="0" fontId="4" fillId="2" borderId="161" xfId="2" applyNumberFormat="1" applyFont="1" applyFill="1" applyBorder="1" applyAlignment="1">
      <alignment vertical="top" wrapText="1"/>
    </xf>
    <xf numFmtId="0" fontId="24" fillId="6" borderId="37" xfId="0" applyFont="1" applyFill="1" applyBorder="1" applyAlignment="1">
      <alignment vertical="center" wrapText="1"/>
    </xf>
    <xf numFmtId="0" fontId="26" fillId="12" borderId="37" xfId="0" applyFont="1" applyFill="1" applyBorder="1" applyAlignment="1">
      <alignment vertical="center" wrapText="1"/>
    </xf>
    <xf numFmtId="41" fontId="0" fillId="6" borderId="9" xfId="0" applyNumberFormat="1" applyFont="1" applyFill="1" applyBorder="1" applyAlignment="1">
      <alignment vertical="center"/>
    </xf>
    <xf numFmtId="177" fontId="0" fillId="2" borderId="99" xfId="3" applyNumberFormat="1" applyFont="1" applyFill="1" applyBorder="1" applyAlignment="1">
      <alignment horizontal="right" vertical="center" wrapText="1"/>
    </xf>
    <xf numFmtId="41" fontId="4" fillId="2" borderId="9" xfId="2" applyNumberFormat="1" applyFont="1" applyFill="1" applyBorder="1" applyAlignment="1">
      <alignment horizontal="right" vertical="top" wrapText="1"/>
    </xf>
    <xf numFmtId="177" fontId="4" fillId="2" borderId="118" xfId="3" applyNumberFormat="1" applyFont="1" applyFill="1" applyBorder="1" applyAlignment="1">
      <alignment horizontal="right" vertical="top" wrapText="1"/>
    </xf>
    <xf numFmtId="0" fontId="26" fillId="6" borderId="179" xfId="0" applyFont="1" applyFill="1" applyBorder="1" applyAlignment="1">
      <alignment vertical="center" wrapText="1"/>
    </xf>
    <xf numFmtId="176" fontId="4" fillId="2" borderId="27" xfId="2" applyNumberFormat="1" applyFont="1" applyFill="1" applyBorder="1" applyAlignment="1">
      <alignment horizontal="right" vertical="top" wrapText="1"/>
    </xf>
    <xf numFmtId="180" fontId="26" fillId="6" borderId="1" xfId="0" applyNumberFormat="1" applyFont="1" applyFill="1" applyBorder="1" applyAlignment="1">
      <alignment vertical="center" wrapText="1"/>
    </xf>
    <xf numFmtId="0" fontId="2" fillId="2" borderId="9" xfId="2" applyNumberFormat="1" applyFont="1" applyFill="1" applyBorder="1" applyAlignment="1">
      <alignment horizontal="left" vertical="top" wrapText="1"/>
    </xf>
    <xf numFmtId="0" fontId="2" fillId="2" borderId="1" xfId="2" applyNumberFormat="1" applyFont="1" applyFill="1" applyBorder="1" applyAlignment="1">
      <alignment vertical="top" wrapText="1"/>
    </xf>
    <xf numFmtId="0" fontId="2" fillId="2" borderId="9" xfId="2" applyNumberFormat="1" applyFont="1" applyFill="1" applyBorder="1" applyAlignment="1">
      <alignment vertical="top" wrapText="1"/>
    </xf>
    <xf numFmtId="180" fontId="24" fillId="6" borderId="4" xfId="0" applyNumberFormat="1" applyFont="1" applyFill="1" applyBorder="1" applyAlignment="1">
      <alignment horizontal="right" vertical="center" wrapText="1"/>
    </xf>
    <xf numFmtId="176" fontId="4" fillId="2" borderId="76" xfId="2" applyNumberFormat="1" applyFont="1" applyFill="1" applyBorder="1" applyAlignment="1">
      <alignment horizontal="right" vertical="center"/>
    </xf>
    <xf numFmtId="41" fontId="4" fillId="2" borderId="76" xfId="2" applyNumberFormat="1" applyFont="1" applyFill="1" applyBorder="1" applyAlignment="1">
      <alignment horizontal="right" vertical="center"/>
    </xf>
    <xf numFmtId="0" fontId="2" fillId="2" borderId="59" xfId="2" applyNumberFormat="1" applyFont="1" applyFill="1" applyBorder="1" applyAlignment="1">
      <alignment horizontal="left" vertical="top" wrapText="1"/>
    </xf>
    <xf numFmtId="0" fontId="2" fillId="2" borderId="1" xfId="2" applyNumberFormat="1" applyFont="1" applyFill="1" applyBorder="1" applyAlignment="1">
      <alignment horizontal="left" vertical="top" wrapText="1"/>
    </xf>
    <xf numFmtId="0" fontId="2" fillId="0" borderId="0" xfId="7">
      <alignment vertical="center"/>
    </xf>
    <xf numFmtId="41" fontId="28" fillId="13" borderId="1" xfId="3" applyNumberFormat="1" applyFont="1" applyFill="1" applyBorder="1" applyAlignment="1">
      <alignment horizontal="right" vertical="center" wrapText="1"/>
    </xf>
    <xf numFmtId="41" fontId="28" fillId="13" borderId="3" xfId="3" applyFont="1" applyFill="1" applyBorder="1" applyAlignment="1">
      <alignment horizontal="right" vertical="center" wrapText="1"/>
    </xf>
    <xf numFmtId="41" fontId="29" fillId="13" borderId="10" xfId="3" applyFont="1" applyFill="1" applyBorder="1" applyAlignment="1">
      <alignment horizontal="right" vertical="center" wrapText="1"/>
    </xf>
    <xf numFmtId="41" fontId="28" fillId="13" borderId="58" xfId="3" applyFont="1" applyFill="1" applyBorder="1" applyAlignment="1">
      <alignment horizontal="right" vertical="center" wrapText="1"/>
    </xf>
    <xf numFmtId="41" fontId="29" fillId="13" borderId="8" xfId="2" applyNumberFormat="1" applyFont="1" applyFill="1" applyBorder="1" applyAlignment="1">
      <alignment horizontal="right" vertical="center" wrapText="1"/>
    </xf>
    <xf numFmtId="176" fontId="2" fillId="2" borderId="1" xfId="3" applyNumberFormat="1" applyFont="1" applyFill="1" applyBorder="1" applyAlignment="1">
      <alignment horizontal="right" vertical="center" wrapText="1"/>
    </xf>
    <xf numFmtId="176" fontId="28" fillId="13" borderId="3" xfId="2" applyNumberFormat="1" applyFont="1" applyFill="1" applyBorder="1" applyAlignment="1">
      <alignment horizontal="right" vertical="center" wrapText="1"/>
    </xf>
    <xf numFmtId="0" fontId="30" fillId="6" borderId="37" xfId="7" applyNumberFormat="1" applyFont="1" applyFill="1" applyBorder="1" applyAlignment="1">
      <alignment horizontal="left" vertical="center" wrapText="1"/>
    </xf>
    <xf numFmtId="0" fontId="30" fillId="6" borderId="37" xfId="7" applyNumberFormat="1" applyFont="1" applyFill="1" applyBorder="1" applyAlignment="1">
      <alignment vertical="center" wrapText="1"/>
    </xf>
    <xf numFmtId="176" fontId="29" fillId="13" borderId="62" xfId="2" applyNumberFormat="1" applyFont="1" applyFill="1" applyBorder="1" applyAlignment="1">
      <alignment horizontal="right" vertical="center" wrapText="1"/>
    </xf>
    <xf numFmtId="176" fontId="17" fillId="2" borderId="7" xfId="3" applyNumberFormat="1" applyFont="1" applyFill="1" applyBorder="1" applyAlignment="1">
      <alignment horizontal="right" vertical="center" wrapText="1"/>
    </xf>
    <xf numFmtId="176" fontId="31" fillId="6" borderId="78" xfId="7" applyNumberFormat="1" applyFont="1" applyFill="1" applyBorder="1">
      <alignment vertical="center"/>
    </xf>
    <xf numFmtId="176" fontId="2" fillId="6" borderId="1" xfId="7" applyNumberFormat="1" applyFont="1" applyFill="1" applyBorder="1">
      <alignment vertical="center"/>
    </xf>
    <xf numFmtId="176" fontId="2" fillId="6" borderId="78" xfId="7" applyNumberFormat="1" applyFont="1" applyFill="1" applyBorder="1">
      <alignment vertical="center"/>
    </xf>
    <xf numFmtId="0" fontId="30" fillId="6" borderId="79" xfId="7" applyNumberFormat="1" applyFont="1" applyFill="1" applyBorder="1" applyAlignment="1">
      <alignment vertical="center" wrapText="1"/>
    </xf>
    <xf numFmtId="176" fontId="31" fillId="6" borderId="75" xfId="7" applyNumberFormat="1" applyFont="1" applyFill="1" applyBorder="1">
      <alignment vertical="center"/>
    </xf>
    <xf numFmtId="176" fontId="2" fillId="6" borderId="3" xfId="7" applyNumberFormat="1" applyFont="1" applyFill="1" applyBorder="1">
      <alignment vertical="center"/>
    </xf>
    <xf numFmtId="176" fontId="2" fillId="6" borderId="75" xfId="7" applyNumberFormat="1" applyFont="1" applyFill="1" applyBorder="1">
      <alignment vertical="center"/>
    </xf>
    <xf numFmtId="0" fontId="2" fillId="6" borderId="37" xfId="7" applyNumberFormat="1" applyFont="1" applyFill="1" applyBorder="1" applyAlignment="1">
      <alignment vertical="center" wrapText="1"/>
    </xf>
    <xf numFmtId="176" fontId="2" fillId="6" borderId="9" xfId="7" applyNumberFormat="1" applyFont="1" applyFill="1" applyBorder="1">
      <alignment vertical="center"/>
    </xf>
    <xf numFmtId="176" fontId="2" fillId="6" borderId="41" xfId="7" applyNumberFormat="1" applyFont="1" applyFill="1" applyBorder="1">
      <alignment vertical="center"/>
    </xf>
    <xf numFmtId="0" fontId="30" fillId="6" borderId="77" xfId="7" applyNumberFormat="1" applyFont="1" applyFill="1" applyBorder="1" applyAlignment="1">
      <alignment horizontal="left" vertical="center" wrapText="1"/>
    </xf>
    <xf numFmtId="0" fontId="30" fillId="6" borderId="38" xfId="7" applyNumberFormat="1" applyFont="1" applyFill="1" applyBorder="1" applyAlignment="1">
      <alignment horizontal="left" vertical="center" wrapText="1"/>
    </xf>
    <xf numFmtId="176" fontId="29" fillId="13" borderId="180" xfId="2" applyNumberFormat="1" applyFont="1" applyFill="1" applyBorder="1" applyAlignment="1">
      <alignment horizontal="right" vertical="center" wrapText="1"/>
    </xf>
    <xf numFmtId="41" fontId="30" fillId="2" borderId="6" xfId="3" applyNumberFormat="1" applyFont="1" applyFill="1" applyBorder="1" applyAlignment="1">
      <alignment horizontal="left" vertical="center" wrapText="1"/>
    </xf>
    <xf numFmtId="176" fontId="29" fillId="13" borderId="118" xfId="2" applyNumberFormat="1" applyFont="1" applyFill="1" applyBorder="1" applyAlignment="1">
      <alignment horizontal="right" vertical="center" wrapText="1"/>
    </xf>
    <xf numFmtId="41" fontId="30" fillId="2" borderId="7" xfId="3" applyNumberFormat="1" applyFont="1" applyFill="1" applyBorder="1" applyAlignment="1">
      <alignment horizontal="left" vertical="center" wrapText="1"/>
    </xf>
    <xf numFmtId="176" fontId="2" fillId="6" borderId="78" xfId="7" applyNumberFormat="1" applyFont="1" applyFill="1" applyBorder="1" applyAlignment="1">
      <alignment vertical="center"/>
    </xf>
    <xf numFmtId="176" fontId="2" fillId="6" borderId="1" xfId="7" applyNumberFormat="1" applyFont="1" applyFill="1" applyBorder="1" applyAlignment="1">
      <alignment vertical="center"/>
    </xf>
    <xf numFmtId="0" fontId="2" fillId="6" borderId="79" xfId="7" applyNumberFormat="1" applyFont="1" applyFill="1" applyBorder="1" applyAlignment="1">
      <alignment vertical="center" wrapText="1"/>
    </xf>
    <xf numFmtId="178" fontId="2" fillId="6" borderId="75" xfId="7" applyNumberFormat="1" applyFont="1" applyFill="1" applyBorder="1">
      <alignment vertical="center"/>
    </xf>
    <xf numFmtId="178" fontId="2" fillId="6" borderId="3" xfId="7" applyNumberFormat="1" applyFont="1" applyFill="1" applyBorder="1">
      <alignment vertical="center"/>
    </xf>
    <xf numFmtId="176" fontId="32" fillId="6" borderId="78" xfId="7" applyNumberFormat="1" applyFont="1" applyFill="1" applyBorder="1">
      <alignment vertical="center"/>
    </xf>
    <xf numFmtId="179" fontId="30" fillId="6" borderId="80" xfId="7" applyNumberFormat="1" applyFont="1" applyFill="1" applyBorder="1" applyAlignment="1">
      <alignment vertical="center" wrapText="1"/>
    </xf>
    <xf numFmtId="176" fontId="28" fillId="13" borderId="1" xfId="2" applyNumberFormat="1" applyFont="1" applyFill="1" applyBorder="1" applyAlignment="1">
      <alignment horizontal="right" vertical="center" wrapText="1"/>
    </xf>
    <xf numFmtId="176" fontId="29" fillId="13" borderId="8" xfId="2" applyNumberFormat="1" applyFont="1" applyFill="1" applyBorder="1" applyAlignment="1">
      <alignment horizontal="right" vertical="center" wrapText="1"/>
    </xf>
    <xf numFmtId="176" fontId="28" fillId="13" borderId="9" xfId="2" applyNumberFormat="1" applyFont="1" applyFill="1" applyBorder="1" applyAlignment="1">
      <alignment horizontal="right" vertical="center" wrapText="1"/>
    </xf>
    <xf numFmtId="41" fontId="30" fillId="2" borderId="25" xfId="3" applyNumberFormat="1" applyFont="1" applyFill="1" applyBorder="1" applyAlignment="1">
      <alignment horizontal="left" vertical="center" wrapText="1"/>
    </xf>
    <xf numFmtId="176" fontId="29" fillId="13" borderId="30" xfId="2" applyNumberFormat="1" applyFont="1" applyFill="1" applyBorder="1" applyAlignment="1">
      <alignment horizontal="right" vertical="center" wrapText="1"/>
    </xf>
    <xf numFmtId="176" fontId="29" fillId="14" borderId="40" xfId="2" applyNumberFormat="1" applyFont="1" applyFill="1" applyBorder="1" applyAlignment="1">
      <alignment vertical="center" wrapText="1"/>
    </xf>
    <xf numFmtId="0" fontId="2" fillId="0" borderId="0" xfId="7" applyNumberFormat="1">
      <alignment vertical="center"/>
    </xf>
    <xf numFmtId="0" fontId="2" fillId="2" borderId="23" xfId="7" applyNumberFormat="1" applyFont="1" applyFill="1" applyBorder="1" applyAlignment="1">
      <alignment vertical="top" wrapText="1"/>
    </xf>
    <xf numFmtId="41" fontId="2" fillId="0" borderId="0" xfId="7" applyNumberFormat="1">
      <alignment vertical="center"/>
    </xf>
    <xf numFmtId="0" fontId="1" fillId="0" borderId="0" xfId="9">
      <alignment vertical="center"/>
    </xf>
    <xf numFmtId="0" fontId="46" fillId="16" borderId="26" xfId="9" applyFont="1" applyFill="1" applyBorder="1" applyAlignment="1">
      <alignment horizontal="center" vertical="center"/>
    </xf>
    <xf numFmtId="0" fontId="46" fillId="16" borderId="10" xfId="9" applyFont="1" applyFill="1" applyBorder="1" applyAlignment="1">
      <alignment horizontal="center" vertical="center" wrapText="1"/>
    </xf>
    <xf numFmtId="0" fontId="32" fillId="13" borderId="9" xfId="9" applyFont="1" applyFill="1" applyBorder="1" applyAlignment="1">
      <alignment horizontal="left" vertical="center" wrapText="1"/>
    </xf>
    <xf numFmtId="41" fontId="47" fillId="13" borderId="9" xfId="10" applyFont="1" applyFill="1" applyBorder="1" applyAlignment="1">
      <alignment horizontal="center" vertical="center" wrapText="1"/>
    </xf>
    <xf numFmtId="177" fontId="33" fillId="13" borderId="9" xfId="10" applyNumberFormat="1" applyFont="1" applyFill="1" applyBorder="1" applyAlignment="1">
      <alignment horizontal="right" vertical="center" wrapText="1"/>
    </xf>
    <xf numFmtId="177" fontId="47" fillId="13" borderId="25" xfId="10" applyNumberFormat="1" applyFont="1" applyFill="1" applyBorder="1" applyAlignment="1">
      <alignment horizontal="center" vertical="center" wrapText="1"/>
    </xf>
    <xf numFmtId="0" fontId="32" fillId="13" borderId="3" xfId="9" applyFont="1" applyFill="1" applyBorder="1" applyAlignment="1">
      <alignment horizontal="left" vertical="center" wrapText="1"/>
    </xf>
    <xf numFmtId="41" fontId="47" fillId="13" borderId="3" xfId="10" applyFont="1" applyFill="1" applyBorder="1" applyAlignment="1">
      <alignment horizontal="center" vertical="center" wrapText="1"/>
    </xf>
    <xf numFmtId="177" fontId="47" fillId="13" borderId="6" xfId="10" applyNumberFormat="1" applyFont="1" applyFill="1" applyBorder="1" applyAlignment="1">
      <alignment horizontal="center" vertical="center" wrapText="1"/>
    </xf>
    <xf numFmtId="41" fontId="47" fillId="13" borderId="8" xfId="10" applyFont="1" applyFill="1" applyBorder="1" applyAlignment="1">
      <alignment horizontal="center" vertical="center" wrapText="1"/>
    </xf>
    <xf numFmtId="177" fontId="33" fillId="13" borderId="8" xfId="10" applyNumberFormat="1" applyFont="1" applyFill="1" applyBorder="1" applyAlignment="1">
      <alignment horizontal="right" vertical="center" wrapText="1"/>
    </xf>
    <xf numFmtId="177" fontId="47" fillId="13" borderId="7" xfId="10" applyNumberFormat="1" applyFont="1" applyFill="1" applyBorder="1" applyAlignment="1">
      <alignment horizontal="center" vertical="center" wrapText="1"/>
    </xf>
    <xf numFmtId="177" fontId="47" fillId="13" borderId="45" xfId="10" applyNumberFormat="1" applyFont="1" applyFill="1" applyBorder="1" applyAlignment="1">
      <alignment horizontal="center" vertical="center" wrapText="1"/>
    </xf>
    <xf numFmtId="177" fontId="47" fillId="13" borderId="39" xfId="10" applyNumberFormat="1" applyFont="1" applyFill="1" applyBorder="1" applyAlignment="1">
      <alignment horizontal="center" vertical="center" wrapText="1"/>
    </xf>
    <xf numFmtId="0" fontId="32" fillId="13" borderId="3" xfId="9" applyFont="1" applyFill="1" applyBorder="1" applyAlignment="1">
      <alignment vertical="center" wrapText="1"/>
    </xf>
    <xf numFmtId="41" fontId="32" fillId="13" borderId="19" xfId="9" applyNumberFormat="1" applyFont="1" applyFill="1" applyBorder="1" applyAlignment="1">
      <alignment horizontal="right" vertical="center"/>
    </xf>
    <xf numFmtId="176" fontId="32" fillId="13" borderId="4" xfId="9" applyNumberFormat="1" applyFont="1" applyFill="1" applyBorder="1" applyAlignment="1">
      <alignment horizontal="right" vertical="center"/>
    </xf>
    <xf numFmtId="41" fontId="32" fillId="13" borderId="4" xfId="9" applyNumberFormat="1" applyFont="1" applyFill="1" applyBorder="1" applyAlignment="1">
      <alignment horizontal="right" vertical="center"/>
    </xf>
    <xf numFmtId="176" fontId="32" fillId="13" borderId="5" xfId="9" applyNumberFormat="1" applyFont="1" applyFill="1" applyBorder="1" applyAlignment="1">
      <alignment horizontal="right" vertical="center"/>
    </xf>
    <xf numFmtId="41" fontId="32" fillId="13" borderId="10" xfId="9" applyNumberFormat="1" applyFont="1" applyFill="1" applyBorder="1" applyAlignment="1">
      <alignment horizontal="right" vertical="center"/>
    </xf>
    <xf numFmtId="177" fontId="33" fillId="13" borderId="123" xfId="10" applyNumberFormat="1" applyFont="1" applyFill="1" applyBorder="1" applyAlignment="1">
      <alignment horizontal="right" vertical="center" wrapText="1"/>
    </xf>
    <xf numFmtId="176" fontId="46" fillId="13" borderId="11" xfId="9" applyNumberFormat="1" applyFont="1" applyFill="1" applyBorder="1" applyAlignment="1">
      <alignment horizontal="right" vertical="center"/>
    </xf>
    <xf numFmtId="0" fontId="32" fillId="13" borderId="1" xfId="9" applyFont="1" applyFill="1" applyBorder="1" applyAlignment="1">
      <alignment horizontal="left" vertical="top" wrapText="1"/>
    </xf>
    <xf numFmtId="41" fontId="32" fillId="13" borderId="1" xfId="9" applyNumberFormat="1" applyFont="1" applyFill="1" applyBorder="1" applyAlignment="1">
      <alignment horizontal="right" vertical="center"/>
    </xf>
    <xf numFmtId="41" fontId="32" fillId="13" borderId="58" xfId="9" applyNumberFormat="1" applyFont="1" applyFill="1" applyBorder="1" applyAlignment="1">
      <alignment horizontal="right" vertical="center"/>
    </xf>
    <xf numFmtId="177" fontId="32" fillId="13" borderId="55" xfId="9" applyNumberFormat="1" applyFont="1" applyFill="1" applyBorder="1" applyAlignment="1">
      <alignment horizontal="right" vertical="center"/>
    </xf>
    <xf numFmtId="0" fontId="32" fillId="13" borderId="3" xfId="9" applyFont="1" applyFill="1" applyBorder="1" applyAlignment="1">
      <alignment horizontal="left" vertical="top" wrapText="1"/>
    </xf>
    <xf numFmtId="41" fontId="32" fillId="13" borderId="3" xfId="9" applyNumberFormat="1" applyFont="1" applyFill="1" applyBorder="1" applyAlignment="1">
      <alignment horizontal="right" vertical="center"/>
    </xf>
    <xf numFmtId="177" fontId="32" fillId="13" borderId="56" xfId="9" applyNumberFormat="1" applyFont="1" applyFill="1" applyBorder="1" applyAlignment="1">
      <alignment horizontal="right" vertical="center"/>
    </xf>
    <xf numFmtId="176" fontId="32" fillId="13" borderId="6" xfId="9" applyNumberFormat="1" applyFont="1" applyFill="1" applyBorder="1" applyAlignment="1">
      <alignment horizontal="left" vertical="center" shrinkToFit="1"/>
    </xf>
    <xf numFmtId="176" fontId="32" fillId="13" borderId="3" xfId="9" applyNumberFormat="1" applyFont="1" applyFill="1" applyBorder="1" applyAlignment="1">
      <alignment horizontal="right" vertical="center"/>
    </xf>
    <xf numFmtId="41" fontId="46" fillId="13" borderId="8" xfId="9" applyNumberFormat="1" applyFont="1" applyFill="1" applyBorder="1" applyAlignment="1">
      <alignment horizontal="right" vertical="center"/>
    </xf>
    <xf numFmtId="177" fontId="46" fillId="13" borderId="128" xfId="9" applyNumberFormat="1" applyFont="1" applyFill="1" applyBorder="1" applyAlignment="1">
      <alignment horizontal="right" vertical="center"/>
    </xf>
    <xf numFmtId="176" fontId="32" fillId="13" borderId="7" xfId="9" applyNumberFormat="1" applyFont="1" applyFill="1" applyBorder="1" applyAlignment="1">
      <alignment horizontal="left" vertical="center" shrinkToFit="1"/>
    </xf>
    <xf numFmtId="0" fontId="32" fillId="13" borderId="9" xfId="9" applyFont="1" applyFill="1" applyBorder="1" applyAlignment="1">
      <alignment vertical="top" wrapText="1"/>
    </xf>
    <xf numFmtId="41" fontId="32" fillId="13" borderId="9" xfId="9" applyNumberFormat="1" applyFont="1" applyFill="1" applyBorder="1" applyAlignment="1">
      <alignment horizontal="right" vertical="center"/>
    </xf>
    <xf numFmtId="176" fontId="32" fillId="13" borderId="25" xfId="9" applyNumberFormat="1" applyFont="1" applyFill="1" applyBorder="1" applyAlignment="1">
      <alignment horizontal="left" vertical="center" shrinkToFit="1"/>
    </xf>
    <xf numFmtId="176" fontId="32" fillId="13" borderId="5" xfId="9" applyNumberFormat="1" applyFont="1" applyFill="1" applyBorder="1" applyAlignment="1">
      <alignment horizontal="left" vertical="center" shrinkToFit="1"/>
    </xf>
    <xf numFmtId="41" fontId="46" fillId="13" borderId="20" xfId="9" applyNumberFormat="1" applyFont="1" applyFill="1" applyBorder="1" applyAlignment="1">
      <alignment horizontal="right" vertical="center"/>
    </xf>
    <xf numFmtId="41" fontId="46" fillId="13" borderId="74" xfId="9" applyNumberFormat="1" applyFont="1" applyFill="1" applyBorder="1" applyAlignment="1">
      <alignment horizontal="right" vertical="center"/>
    </xf>
    <xf numFmtId="177" fontId="38" fillId="13" borderId="123" xfId="10" applyNumberFormat="1" applyFont="1" applyFill="1" applyBorder="1" applyAlignment="1">
      <alignment horizontal="right" vertical="center" wrapText="1"/>
    </xf>
    <xf numFmtId="176" fontId="32" fillId="13" borderId="11" xfId="9" applyNumberFormat="1" applyFont="1" applyFill="1" applyBorder="1" applyAlignment="1">
      <alignment horizontal="right" vertical="center" shrinkToFit="1"/>
    </xf>
    <xf numFmtId="176" fontId="32" fillId="13" borderId="2" xfId="9" applyNumberFormat="1" applyFont="1" applyFill="1" applyBorder="1" applyAlignment="1">
      <alignment horizontal="right" vertical="center" shrinkToFit="1"/>
    </xf>
    <xf numFmtId="176" fontId="32" fillId="13" borderId="6" xfId="9" applyNumberFormat="1" applyFont="1" applyFill="1" applyBorder="1" applyAlignment="1">
      <alignment horizontal="right" vertical="center" shrinkToFit="1"/>
    </xf>
    <xf numFmtId="0" fontId="46" fillId="13" borderId="8" xfId="9" applyFont="1" applyFill="1" applyBorder="1" applyAlignment="1">
      <alignment horizontal="center" vertical="top" wrapText="1"/>
    </xf>
    <xf numFmtId="41" fontId="32" fillId="13" borderId="8" xfId="9" applyNumberFormat="1" applyFont="1" applyFill="1" applyBorder="1" applyAlignment="1">
      <alignment horizontal="right" vertical="center"/>
    </xf>
    <xf numFmtId="177" fontId="33" fillId="13" borderId="109" xfId="10" applyNumberFormat="1" applyFont="1" applyFill="1" applyBorder="1" applyAlignment="1">
      <alignment horizontal="right" vertical="center" wrapText="1"/>
    </xf>
    <xf numFmtId="176" fontId="32" fillId="13" borderId="7" xfId="9" applyNumberFormat="1" applyFont="1" applyFill="1" applyBorder="1" applyAlignment="1">
      <alignment horizontal="right" vertical="center" shrinkToFit="1"/>
    </xf>
    <xf numFmtId="0" fontId="46" fillId="13" borderId="87" xfId="9" applyFont="1" applyFill="1" applyBorder="1" applyAlignment="1">
      <alignment horizontal="left" wrapText="1"/>
    </xf>
    <xf numFmtId="0" fontId="32" fillId="13" borderId="9" xfId="9" applyFont="1" applyFill="1" applyBorder="1" applyAlignment="1">
      <alignment horizontal="left" vertical="top" wrapText="1"/>
    </xf>
    <xf numFmtId="176" fontId="32" fillId="13" borderId="25" xfId="9" applyNumberFormat="1" applyFont="1" applyFill="1" applyBorder="1" applyAlignment="1">
      <alignment horizontal="right" vertical="center"/>
    </xf>
    <xf numFmtId="0" fontId="32" fillId="13" borderId="3" xfId="9" applyFont="1" applyFill="1" applyBorder="1" applyAlignment="1">
      <alignment vertical="top" wrapText="1"/>
    </xf>
    <xf numFmtId="176" fontId="32" fillId="13" borderId="6" xfId="9" applyNumberFormat="1" applyFont="1" applyFill="1" applyBorder="1" applyAlignment="1">
      <alignment horizontal="right" vertical="center"/>
    </xf>
    <xf numFmtId="41" fontId="32" fillId="13" borderId="27" xfId="9" applyNumberFormat="1" applyFont="1" applyFill="1" applyBorder="1" applyAlignment="1">
      <alignment horizontal="right" vertical="center"/>
    </xf>
    <xf numFmtId="176" fontId="32" fillId="13" borderId="11" xfId="9" applyNumberFormat="1" applyFont="1" applyFill="1" applyBorder="1" applyAlignment="1">
      <alignment horizontal="right" vertical="center"/>
    </xf>
    <xf numFmtId="0" fontId="32" fillId="13" borderId="1" xfId="9" applyFont="1" applyFill="1" applyBorder="1" applyAlignment="1">
      <alignment vertical="top" wrapText="1"/>
    </xf>
    <xf numFmtId="176" fontId="32" fillId="13" borderId="12" xfId="9" applyNumberFormat="1" applyFont="1" applyFill="1" applyBorder="1" applyAlignment="1">
      <alignment horizontal="right" vertical="center"/>
    </xf>
    <xf numFmtId="176" fontId="32" fillId="13" borderId="122" xfId="9" applyNumberFormat="1" applyFont="1" applyFill="1" applyBorder="1" applyAlignment="1">
      <alignment horizontal="right" vertical="center"/>
    </xf>
    <xf numFmtId="0" fontId="33" fillId="13" borderId="9" xfId="10" applyNumberFormat="1" applyFont="1" applyFill="1" applyBorder="1" applyAlignment="1">
      <alignment horizontal="right" vertical="center" wrapText="1"/>
    </xf>
    <xf numFmtId="176" fontId="32" fillId="13" borderId="22" xfId="9" applyNumberFormat="1" applyFont="1" applyFill="1" applyBorder="1" applyAlignment="1">
      <alignment horizontal="left" vertical="center" shrinkToFit="1"/>
    </xf>
    <xf numFmtId="41" fontId="32" fillId="13" borderId="68" xfId="9" applyNumberFormat="1" applyFont="1" applyFill="1" applyBorder="1" applyAlignment="1">
      <alignment horizontal="right" vertical="center"/>
    </xf>
    <xf numFmtId="2" fontId="33" fillId="13" borderId="9" xfId="10" applyNumberFormat="1" applyFont="1" applyFill="1" applyBorder="1" applyAlignment="1">
      <alignment horizontal="right" vertical="center" wrapText="1"/>
    </xf>
    <xf numFmtId="176" fontId="32" fillId="13" borderId="24" xfId="9" applyNumberFormat="1" applyFont="1" applyFill="1" applyBorder="1" applyAlignment="1">
      <alignment horizontal="left" vertical="center" shrinkToFit="1"/>
    </xf>
    <xf numFmtId="177" fontId="38" fillId="13" borderId="27" xfId="10" applyNumberFormat="1" applyFont="1" applyFill="1" applyBorder="1" applyAlignment="1">
      <alignment horizontal="right" vertical="center" wrapText="1"/>
    </xf>
    <xf numFmtId="176" fontId="32" fillId="13" borderId="1" xfId="9" applyNumberFormat="1" applyFont="1" applyFill="1" applyBorder="1" applyAlignment="1">
      <alignment horizontal="right" vertical="center"/>
    </xf>
    <xf numFmtId="177" fontId="33" fillId="13" borderId="1" xfId="10" applyNumberFormat="1" applyFont="1" applyFill="1" applyBorder="1" applyAlignment="1">
      <alignment horizontal="right" vertical="center" wrapText="1"/>
    </xf>
    <xf numFmtId="177" fontId="32" fillId="13" borderId="3" xfId="9" applyNumberFormat="1" applyFont="1" applyFill="1" applyBorder="1" applyAlignment="1">
      <alignment horizontal="right" vertical="center"/>
    </xf>
    <xf numFmtId="176" fontId="32" fillId="13" borderId="6" xfId="9" applyNumberFormat="1" applyFont="1" applyFill="1" applyBorder="1" applyAlignment="1">
      <alignment horizontal="left" vertical="center"/>
    </xf>
    <xf numFmtId="176" fontId="32" fillId="13" borderId="7" xfId="9" applyNumberFormat="1" applyFont="1" applyFill="1" applyBorder="1" applyAlignment="1">
      <alignment horizontal="right" vertical="center"/>
    </xf>
    <xf numFmtId="176" fontId="32" fillId="13" borderId="9" xfId="9" applyNumberFormat="1" applyFont="1" applyFill="1" applyBorder="1" applyAlignment="1">
      <alignment horizontal="right" vertical="center"/>
    </xf>
    <xf numFmtId="41" fontId="32" fillId="13" borderId="30" xfId="9" applyNumberFormat="1" applyFont="1" applyFill="1" applyBorder="1" applyAlignment="1">
      <alignment horizontal="right" vertical="center"/>
    </xf>
    <xf numFmtId="176" fontId="32" fillId="13" borderId="39" xfId="9" applyNumberFormat="1" applyFont="1" applyFill="1" applyBorder="1" applyAlignment="1">
      <alignment horizontal="right" vertical="center"/>
    </xf>
    <xf numFmtId="41" fontId="46" fillId="16" borderId="43" xfId="9" applyNumberFormat="1" applyFont="1" applyFill="1" applyBorder="1" applyAlignment="1">
      <alignment horizontal="right" vertical="center"/>
    </xf>
    <xf numFmtId="177" fontId="46" fillId="16" borderId="44" xfId="9" applyNumberFormat="1" applyFont="1" applyFill="1" applyBorder="1" applyAlignment="1">
      <alignment horizontal="right" vertical="center"/>
    </xf>
    <xf numFmtId="176" fontId="46" fillId="16" borderId="16" xfId="9" applyNumberFormat="1" applyFont="1" applyFill="1" applyBorder="1" applyAlignment="1">
      <alignment horizontal="right" vertical="center"/>
    </xf>
    <xf numFmtId="0" fontId="46" fillId="13" borderId="52" xfId="9" applyFont="1" applyFill="1" applyBorder="1">
      <alignment vertical="center"/>
    </xf>
    <xf numFmtId="0" fontId="32" fillId="13" borderId="121" xfId="9" applyFont="1" applyFill="1" applyBorder="1" applyAlignment="1">
      <alignment vertical="top" wrapText="1"/>
    </xf>
    <xf numFmtId="177" fontId="32" fillId="13" borderId="78" xfId="9" applyNumberFormat="1" applyFont="1" applyFill="1" applyBorder="1" applyAlignment="1">
      <alignment horizontal="right" vertical="center"/>
    </xf>
    <xf numFmtId="176" fontId="32" fillId="13" borderId="5" xfId="9" applyNumberFormat="1" applyFont="1" applyFill="1" applyBorder="1" applyAlignment="1">
      <alignment horizontal="center" vertical="center" shrinkToFit="1"/>
    </xf>
    <xf numFmtId="0" fontId="32" fillId="13" borderId="18" xfId="9" applyFont="1" applyFill="1" applyBorder="1" applyAlignment="1">
      <alignment horizontal="center" vertical="center"/>
    </xf>
    <xf numFmtId="0" fontId="32" fillId="13" borderId="48" xfId="9" applyFont="1" applyFill="1" applyBorder="1" applyAlignment="1">
      <alignment vertical="top" wrapText="1"/>
    </xf>
    <xf numFmtId="177" fontId="32" fillId="13" borderId="41" xfId="9" applyNumberFormat="1" applyFont="1" applyFill="1" applyBorder="1" applyAlignment="1">
      <alignment horizontal="right" vertical="center"/>
    </xf>
    <xf numFmtId="41" fontId="32" fillId="13" borderId="4" xfId="10" applyFont="1" applyFill="1" applyBorder="1" applyAlignment="1">
      <alignment horizontal="right" vertical="center"/>
    </xf>
    <xf numFmtId="0" fontId="46" fillId="13" borderId="63" xfId="9" applyFont="1" applyFill="1" applyBorder="1" applyAlignment="1">
      <alignment horizontal="center" vertical="top" wrapText="1"/>
    </xf>
    <xf numFmtId="177" fontId="46" fillId="13" borderId="73" xfId="9" applyNumberFormat="1" applyFont="1" applyFill="1" applyBorder="1" applyAlignment="1">
      <alignment horizontal="right" vertical="center"/>
    </xf>
    <xf numFmtId="176" fontId="46" fillId="13" borderId="5" xfId="9" applyNumberFormat="1" applyFont="1" applyFill="1" applyBorder="1" applyAlignment="1">
      <alignment horizontal="center" vertical="center" shrinkToFit="1"/>
    </xf>
    <xf numFmtId="176" fontId="32" fillId="13" borderId="41" xfId="9" applyNumberFormat="1" applyFont="1" applyFill="1" applyBorder="1" applyAlignment="1">
      <alignment horizontal="right" vertical="center"/>
    </xf>
    <xf numFmtId="0" fontId="32" fillId="13" borderId="23" xfId="9" applyFont="1" applyFill="1" applyBorder="1" applyAlignment="1">
      <alignment vertical="top" wrapText="1"/>
    </xf>
    <xf numFmtId="177" fontId="32" fillId="13" borderId="73" xfId="9" applyNumberFormat="1" applyFont="1" applyFill="1" applyBorder="1" applyAlignment="1">
      <alignment horizontal="right" vertical="center"/>
    </xf>
    <xf numFmtId="176" fontId="32" fillId="13" borderId="42" xfId="9" applyNumberFormat="1" applyFont="1" applyFill="1" applyBorder="1" applyAlignment="1">
      <alignment horizontal="right" vertical="center"/>
    </xf>
    <xf numFmtId="0" fontId="32" fillId="13" borderId="143" xfId="9" applyFont="1" applyFill="1" applyBorder="1" applyAlignment="1">
      <alignment vertical="top" wrapText="1"/>
    </xf>
    <xf numFmtId="176" fontId="32" fillId="13" borderId="186" xfId="9" applyNumberFormat="1" applyFont="1" applyFill="1" applyBorder="1" applyAlignment="1">
      <alignment horizontal="right" vertical="center"/>
    </xf>
    <xf numFmtId="0" fontId="46" fillId="13" borderId="18" xfId="9" applyFont="1" applyFill="1" applyBorder="1" applyAlignment="1">
      <alignment horizontal="center" vertical="center"/>
    </xf>
    <xf numFmtId="176" fontId="32" fillId="13" borderId="172" xfId="9" applyNumberFormat="1" applyFont="1" applyFill="1" applyBorder="1" applyAlignment="1">
      <alignment horizontal="right" vertical="center"/>
    </xf>
    <xf numFmtId="176" fontId="32" fillId="13" borderId="24" xfId="9" applyNumberFormat="1" applyFont="1" applyFill="1" applyBorder="1" applyAlignment="1">
      <alignment horizontal="center" vertical="center" shrinkToFit="1"/>
    </xf>
    <xf numFmtId="0" fontId="32" fillId="13" borderId="15" xfId="9" applyFont="1" applyFill="1" applyBorder="1" applyAlignment="1">
      <alignment horizontal="left" vertical="top" wrapText="1"/>
    </xf>
    <xf numFmtId="41" fontId="32" fillId="13" borderId="3" xfId="10" applyFont="1" applyFill="1" applyBorder="1" applyAlignment="1">
      <alignment horizontal="right" vertical="center"/>
    </xf>
    <xf numFmtId="41" fontId="32" fillId="13" borderId="15" xfId="10" applyFont="1" applyFill="1" applyBorder="1" applyAlignment="1">
      <alignment horizontal="right" vertical="center"/>
    </xf>
    <xf numFmtId="42" fontId="32" fillId="13" borderId="3" xfId="9" applyNumberFormat="1" applyFont="1" applyFill="1" applyBorder="1" applyAlignment="1">
      <alignment horizontal="right" vertical="center"/>
    </xf>
    <xf numFmtId="176" fontId="32" fillId="13" borderId="6" xfId="9" applyNumberFormat="1" applyFont="1" applyFill="1" applyBorder="1" applyAlignment="1">
      <alignment horizontal="center" vertical="center" shrinkToFit="1"/>
    </xf>
    <xf numFmtId="41" fontId="32" fillId="13" borderId="57" xfId="10" applyFont="1" applyFill="1" applyBorder="1" applyAlignment="1">
      <alignment horizontal="right" vertical="center"/>
    </xf>
    <xf numFmtId="176" fontId="32" fillId="13" borderId="19" xfId="9" applyNumberFormat="1" applyFont="1" applyFill="1" applyBorder="1" applyAlignment="1">
      <alignment horizontal="right" vertical="center"/>
    </xf>
    <xf numFmtId="41" fontId="46" fillId="13" borderId="118" xfId="9" applyNumberFormat="1" applyFont="1" applyFill="1" applyBorder="1" applyAlignment="1">
      <alignment horizontal="right" vertical="center"/>
    </xf>
    <xf numFmtId="0" fontId="46" fillId="13" borderId="26" xfId="9" applyFont="1" applyFill="1" applyBorder="1">
      <alignment vertical="center"/>
    </xf>
    <xf numFmtId="41" fontId="46" fillId="13" borderId="43" xfId="9" applyNumberFormat="1" applyFont="1" applyFill="1" applyBorder="1" applyAlignment="1">
      <alignment horizontal="right" vertical="center"/>
    </xf>
    <xf numFmtId="41" fontId="46" fillId="13" borderId="73" xfId="9" applyNumberFormat="1" applyFont="1" applyFill="1" applyBorder="1" applyAlignment="1">
      <alignment horizontal="right" vertical="center"/>
    </xf>
    <xf numFmtId="176" fontId="46" fillId="13" borderId="11" xfId="9" applyNumberFormat="1" applyFont="1" applyFill="1" applyBorder="1" applyAlignment="1">
      <alignment horizontal="center" vertical="center" shrinkToFit="1"/>
    </xf>
    <xf numFmtId="176" fontId="32" fillId="13" borderId="21" xfId="9" applyNumberFormat="1" applyFont="1" applyFill="1" applyBorder="1" applyAlignment="1">
      <alignment horizontal="right" vertical="center"/>
    </xf>
    <xf numFmtId="177" fontId="32" fillId="13" borderId="50" xfId="9" applyNumberFormat="1" applyFont="1" applyFill="1" applyBorder="1" applyAlignment="1">
      <alignment horizontal="right" vertical="center"/>
    </xf>
    <xf numFmtId="177" fontId="32" fillId="13" borderId="4" xfId="9" applyNumberFormat="1" applyFont="1" applyFill="1" applyBorder="1" applyAlignment="1">
      <alignment horizontal="right" vertical="center"/>
    </xf>
    <xf numFmtId="176" fontId="32" fillId="13" borderId="176" xfId="9" applyNumberFormat="1" applyFont="1" applyFill="1" applyBorder="1" applyAlignment="1">
      <alignment horizontal="center" vertical="center" shrinkToFit="1"/>
    </xf>
    <xf numFmtId="41" fontId="46" fillId="13" borderId="62" xfId="9" applyNumberFormat="1" applyFont="1" applyFill="1" applyBorder="1" applyAlignment="1">
      <alignment horizontal="right" vertical="center"/>
    </xf>
    <xf numFmtId="177" fontId="46" fillId="13" borderId="74" xfId="9" applyNumberFormat="1" applyFont="1" applyFill="1" applyBorder="1" applyAlignment="1">
      <alignment horizontal="right" vertical="center"/>
    </xf>
    <xf numFmtId="176" fontId="32" fillId="13" borderId="187" xfId="9" applyNumberFormat="1" applyFont="1" applyFill="1" applyBorder="1" applyAlignment="1">
      <alignment horizontal="center" vertical="center" shrinkToFit="1"/>
    </xf>
    <xf numFmtId="0" fontId="32" fillId="13" borderId="1" xfId="9" applyFont="1" applyFill="1" applyBorder="1" applyAlignment="1">
      <alignment horizontal="left" vertical="top"/>
    </xf>
    <xf numFmtId="176" fontId="32" fillId="13" borderId="59" xfId="9" applyNumberFormat="1" applyFont="1" applyFill="1" applyBorder="1" applyAlignment="1">
      <alignment horizontal="right" vertical="center"/>
    </xf>
    <xf numFmtId="176" fontId="32" fillId="13" borderId="61" xfId="9" applyNumberFormat="1" applyFont="1" applyFill="1" applyBorder="1" applyAlignment="1">
      <alignment horizontal="right" vertical="center"/>
    </xf>
    <xf numFmtId="177" fontId="32" fillId="13" borderId="9" xfId="9" applyNumberFormat="1" applyFont="1" applyFill="1" applyBorder="1" applyAlignment="1">
      <alignment horizontal="right" vertical="center"/>
    </xf>
    <xf numFmtId="176" fontId="32" fillId="13" borderId="25" xfId="9" applyNumberFormat="1" applyFont="1" applyFill="1" applyBorder="1" applyAlignment="1">
      <alignment horizontal="center" vertical="center" shrinkToFit="1"/>
    </xf>
    <xf numFmtId="0" fontId="32" fillId="13" borderId="9" xfId="9" applyFont="1" applyFill="1" applyBorder="1" applyAlignment="1">
      <alignment horizontal="left" vertical="top"/>
    </xf>
    <xf numFmtId="0" fontId="32" fillId="13" borderId="3" xfId="9" applyFont="1" applyFill="1" applyBorder="1" applyAlignment="1">
      <alignment horizontal="left" vertical="top"/>
    </xf>
    <xf numFmtId="176" fontId="32" fillId="13" borderId="57" xfId="9" applyNumberFormat="1" applyFont="1" applyFill="1" applyBorder="1" applyAlignment="1">
      <alignment horizontal="right" vertical="center"/>
    </xf>
    <xf numFmtId="176" fontId="32" fillId="13" borderId="7" xfId="9" applyNumberFormat="1" applyFont="1" applyFill="1" applyBorder="1" applyAlignment="1">
      <alignment horizontal="center" vertical="center" shrinkToFit="1"/>
    </xf>
    <xf numFmtId="41" fontId="46" fillId="13" borderId="27" xfId="9" applyNumberFormat="1" applyFont="1" applyFill="1" applyBorder="1" applyAlignment="1">
      <alignment horizontal="right" vertical="center"/>
    </xf>
    <xf numFmtId="177" fontId="46" fillId="13" borderId="135" xfId="9" applyNumberFormat="1" applyFont="1" applyFill="1" applyBorder="1" applyAlignment="1">
      <alignment horizontal="right" vertical="center"/>
    </xf>
    <xf numFmtId="176" fontId="46" fillId="13" borderId="7" xfId="9" applyNumberFormat="1" applyFont="1" applyFill="1" applyBorder="1" applyAlignment="1">
      <alignment horizontal="center" vertical="center" shrinkToFit="1"/>
    </xf>
    <xf numFmtId="0" fontId="32" fillId="13" borderId="49" xfId="9" applyFont="1" applyFill="1" applyBorder="1" applyAlignment="1">
      <alignment horizontal="left" vertical="top" wrapText="1"/>
    </xf>
    <xf numFmtId="41" fontId="32" fillId="13" borderId="93" xfId="9" applyNumberFormat="1" applyFont="1" applyFill="1" applyBorder="1" applyAlignment="1">
      <alignment horizontal="right" vertical="center"/>
    </xf>
    <xf numFmtId="41" fontId="32" fillId="13" borderId="62" xfId="9" applyNumberFormat="1" applyFont="1" applyFill="1" applyBorder="1" applyAlignment="1">
      <alignment horizontal="right" vertical="center"/>
    </xf>
    <xf numFmtId="177" fontId="32" fillId="13" borderId="74" xfId="9" applyNumberFormat="1" applyFont="1" applyFill="1" applyBorder="1" applyAlignment="1">
      <alignment horizontal="right" vertical="center"/>
    </xf>
    <xf numFmtId="176" fontId="32" fillId="13" borderId="11" xfId="9" applyNumberFormat="1" applyFont="1" applyFill="1" applyBorder="1" applyAlignment="1">
      <alignment horizontal="center" vertical="center" shrinkToFit="1"/>
    </xf>
    <xf numFmtId="41" fontId="32" fillId="13" borderId="144" xfId="9" applyNumberFormat="1" applyFont="1" applyFill="1" applyBorder="1" applyAlignment="1">
      <alignment horizontal="right" vertical="center"/>
    </xf>
    <xf numFmtId="41" fontId="32" fillId="13" borderId="71" xfId="9" applyNumberFormat="1" applyFont="1" applyFill="1" applyBorder="1" applyAlignment="1">
      <alignment horizontal="right" vertical="center"/>
    </xf>
    <xf numFmtId="41" fontId="32" fillId="13" borderId="5" xfId="9" applyNumberFormat="1" applyFont="1" applyFill="1" applyBorder="1" applyAlignment="1">
      <alignment horizontal="center" vertical="center" shrinkToFit="1"/>
    </xf>
    <xf numFmtId="9" fontId="46" fillId="13" borderId="41" xfId="9" applyNumberFormat="1" applyFont="1" applyFill="1" applyBorder="1" applyAlignment="1">
      <alignment horizontal="right" vertical="center"/>
    </xf>
    <xf numFmtId="41" fontId="33" fillId="13" borderId="1" xfId="10" applyFont="1" applyFill="1" applyBorder="1" applyAlignment="1">
      <alignment horizontal="center" vertical="center" wrapText="1"/>
    </xf>
    <xf numFmtId="41" fontId="33" fillId="13" borderId="46" xfId="10" applyFont="1" applyFill="1" applyBorder="1" applyAlignment="1">
      <alignment horizontal="center" vertical="center" wrapText="1"/>
    </xf>
    <xf numFmtId="41" fontId="33" fillId="13" borderId="98" xfId="10" applyFont="1" applyFill="1" applyBorder="1" applyAlignment="1">
      <alignment horizontal="center" vertical="center" wrapText="1"/>
    </xf>
    <xf numFmtId="177" fontId="32" fillId="13" borderId="78" xfId="9" applyNumberFormat="1" applyFont="1" applyFill="1" applyBorder="1" applyAlignment="1">
      <alignment horizontal="center" vertical="center"/>
    </xf>
    <xf numFmtId="176" fontId="32" fillId="13" borderId="45" xfId="9" applyNumberFormat="1" applyFont="1" applyFill="1" applyBorder="1" applyAlignment="1">
      <alignment horizontal="center" vertical="center" shrinkToFit="1"/>
    </xf>
    <xf numFmtId="41" fontId="33" fillId="13" borderId="9" xfId="10" applyFont="1" applyFill="1" applyBorder="1" applyAlignment="1">
      <alignment horizontal="center" vertical="center" wrapText="1"/>
    </xf>
    <xf numFmtId="177" fontId="32" fillId="13" borderId="41" xfId="9" applyNumberFormat="1" applyFont="1" applyFill="1" applyBorder="1" applyAlignment="1">
      <alignment horizontal="center" vertical="center"/>
    </xf>
    <xf numFmtId="176" fontId="32" fillId="13" borderId="133" xfId="9" applyNumberFormat="1" applyFont="1" applyFill="1" applyBorder="1" applyAlignment="1">
      <alignment horizontal="right" vertical="center"/>
    </xf>
    <xf numFmtId="177" fontId="46" fillId="13" borderId="74" xfId="9" applyNumberFormat="1" applyFont="1" applyFill="1" applyBorder="1" applyAlignment="1">
      <alignment horizontal="center" vertical="center"/>
    </xf>
    <xf numFmtId="176" fontId="32" fillId="13" borderId="188" xfId="9" applyNumberFormat="1" applyFont="1" applyFill="1" applyBorder="1" applyAlignment="1">
      <alignment horizontal="right" vertical="center"/>
    </xf>
    <xf numFmtId="177" fontId="32" fillId="13" borderId="4" xfId="9" applyNumberFormat="1" applyFont="1" applyFill="1" applyBorder="1" applyAlignment="1">
      <alignment horizontal="center" vertical="center"/>
    </xf>
    <xf numFmtId="177" fontId="32" fillId="13" borderId="36" xfId="9" applyNumberFormat="1" applyFont="1" applyFill="1" applyBorder="1" applyAlignment="1">
      <alignment horizontal="center" vertical="center"/>
    </xf>
    <xf numFmtId="176" fontId="32" fillId="13" borderId="134" xfId="9" applyNumberFormat="1" applyFont="1" applyFill="1" applyBorder="1" applyAlignment="1">
      <alignment horizontal="right" vertical="center"/>
    </xf>
    <xf numFmtId="177" fontId="46" fillId="13" borderId="10" xfId="9" applyNumberFormat="1" applyFont="1" applyFill="1" applyBorder="1" applyAlignment="1">
      <alignment horizontal="center" vertical="center"/>
    </xf>
    <xf numFmtId="176" fontId="32" fillId="13" borderId="187" xfId="9" applyNumberFormat="1" applyFont="1" applyFill="1" applyBorder="1" applyAlignment="1">
      <alignment horizontal="right" vertical="center"/>
    </xf>
    <xf numFmtId="0" fontId="46" fillId="7" borderId="18" xfId="9" applyFont="1" applyFill="1" applyBorder="1" applyAlignment="1">
      <alignment vertical="top" wrapText="1"/>
    </xf>
    <xf numFmtId="0" fontId="32" fillId="7" borderId="49" xfId="9" applyFont="1" applyFill="1" applyBorder="1" applyAlignment="1">
      <alignment vertical="top" wrapText="1"/>
    </xf>
    <xf numFmtId="0" fontId="32" fillId="7" borderId="70" xfId="9" applyFont="1" applyFill="1" applyBorder="1" applyAlignment="1">
      <alignment vertical="top" wrapText="1"/>
    </xf>
    <xf numFmtId="176" fontId="32" fillId="13" borderId="13" xfId="9" applyNumberFormat="1" applyFont="1" applyFill="1" applyBorder="1" applyAlignment="1">
      <alignment horizontal="right" vertical="center"/>
    </xf>
    <xf numFmtId="176" fontId="32" fillId="13" borderId="72" xfId="9" applyNumberFormat="1" applyFont="1" applyFill="1" applyBorder="1" applyAlignment="1">
      <alignment horizontal="right" vertical="center"/>
    </xf>
    <xf numFmtId="41" fontId="1" fillId="0" borderId="0" xfId="9" applyNumberFormat="1">
      <alignment vertical="center"/>
    </xf>
    <xf numFmtId="41" fontId="0" fillId="0" borderId="0" xfId="10" applyFont="1">
      <alignment vertical="center"/>
    </xf>
    <xf numFmtId="176" fontId="0" fillId="2" borderId="171" xfId="0" applyNumberFormat="1" applyFont="1" applyFill="1" applyBorder="1" applyAlignment="1">
      <alignment horizontal="right" vertical="center"/>
    </xf>
    <xf numFmtId="41" fontId="4" fillId="2" borderId="60" xfId="0" applyNumberFormat="1" applyFont="1" applyFill="1" applyBorder="1" applyAlignment="1">
      <alignment horizontal="right" vertical="center"/>
    </xf>
    <xf numFmtId="0" fontId="0" fillId="2" borderId="15" xfId="0" applyNumberFormat="1" applyFont="1" applyFill="1" applyBorder="1" applyAlignment="1">
      <alignment horizontal="left" vertical="top" wrapText="1"/>
    </xf>
    <xf numFmtId="177" fontId="0" fillId="2" borderId="69" xfId="0" applyNumberFormat="1" applyFont="1" applyFill="1" applyBorder="1" applyAlignment="1">
      <alignment horizontal="right" vertical="center"/>
    </xf>
    <xf numFmtId="41" fontId="49" fillId="0" borderId="13" xfId="0" applyNumberFormat="1" applyFont="1" applyBorder="1">
      <alignment vertical="center"/>
    </xf>
    <xf numFmtId="41" fontId="6" fillId="17" borderId="13" xfId="0" applyNumberFormat="1" applyFont="1" applyFill="1" applyBorder="1">
      <alignment vertical="center"/>
    </xf>
    <xf numFmtId="10" fontId="6" fillId="0" borderId="3" xfId="0" applyNumberFormat="1" applyFont="1" applyBorder="1">
      <alignment vertical="center"/>
    </xf>
    <xf numFmtId="177" fontId="5" fillId="10" borderId="8" xfId="0" applyNumberFormat="1" applyFont="1" applyFill="1" applyBorder="1" applyAlignment="1">
      <alignment horizontal="right" vertical="center"/>
    </xf>
    <xf numFmtId="177" fontId="5" fillId="9" borderId="8" xfId="0" applyNumberFormat="1" applyFont="1" applyFill="1" applyBorder="1" applyAlignment="1">
      <alignment horizontal="right" vertical="center"/>
    </xf>
    <xf numFmtId="181" fontId="6" fillId="0" borderId="3" xfId="0" applyNumberFormat="1" applyFont="1" applyBorder="1">
      <alignment vertical="center"/>
    </xf>
    <xf numFmtId="181" fontId="6" fillId="0" borderId="9" xfId="0" applyNumberFormat="1" applyFont="1" applyBorder="1">
      <alignment vertical="center"/>
    </xf>
    <xf numFmtId="181" fontId="5" fillId="8" borderId="8" xfId="0" applyNumberFormat="1" applyFont="1" applyFill="1" applyBorder="1">
      <alignment vertical="center"/>
    </xf>
    <xf numFmtId="181" fontId="6" fillId="0" borderId="13" xfId="0" applyNumberFormat="1" applyFont="1" applyBorder="1">
      <alignment vertical="center"/>
    </xf>
    <xf numFmtId="181" fontId="6" fillId="17" borderId="13" xfId="0" applyNumberFormat="1" applyFont="1" applyFill="1" applyBorder="1">
      <alignment vertical="center"/>
    </xf>
    <xf numFmtId="181" fontId="5" fillId="10" borderId="13" xfId="0" applyNumberFormat="1" applyFont="1" applyFill="1" applyBorder="1" applyAlignment="1">
      <alignment horizontal="right" vertical="center"/>
    </xf>
    <xf numFmtId="181" fontId="5" fillId="9" borderId="8" xfId="0" applyNumberFormat="1" applyFont="1" applyFill="1" applyBorder="1">
      <alignment vertical="center"/>
    </xf>
    <xf numFmtId="41" fontId="2" fillId="2" borderId="89" xfId="3" applyNumberFormat="1" applyFont="1" applyFill="1" applyBorder="1" applyAlignment="1">
      <alignment vertical="center" wrapText="1"/>
    </xf>
    <xf numFmtId="176" fontId="52" fillId="13" borderId="2" xfId="9" applyNumberFormat="1" applyFont="1" applyFill="1" applyBorder="1" applyAlignment="1">
      <alignment horizontal="left" vertical="center" shrinkToFit="1"/>
    </xf>
    <xf numFmtId="0" fontId="42" fillId="0" borderId="40" xfId="0" applyNumberFormat="1" applyFont="1" applyBorder="1" applyAlignment="1">
      <alignment horizontal="center" vertical="center" wrapText="1"/>
    </xf>
    <xf numFmtId="0" fontId="43" fillId="0" borderId="25" xfId="0" applyNumberFormat="1" applyFont="1" applyBorder="1" applyAlignment="1">
      <alignment vertical="center" wrapText="1"/>
    </xf>
    <xf numFmtId="0" fontId="43" fillId="0" borderId="14" xfId="0" applyNumberFormat="1" applyFont="1" applyBorder="1">
      <alignment vertical="center"/>
    </xf>
    <xf numFmtId="0" fontId="43" fillId="2" borderId="14" xfId="0" applyNumberFormat="1" applyFont="1" applyFill="1" applyBorder="1">
      <alignment vertical="center"/>
    </xf>
    <xf numFmtId="0" fontId="28" fillId="0" borderId="1" xfId="2" applyNumberFormat="1" applyFont="1" applyFill="1" applyBorder="1" applyAlignment="1">
      <alignment vertical="top" wrapText="1"/>
    </xf>
    <xf numFmtId="41" fontId="0" fillId="0" borderId="78" xfId="1" applyNumberFormat="1" applyFont="1" applyFill="1" applyBorder="1" applyAlignment="1">
      <alignment vertical="center"/>
    </xf>
    <xf numFmtId="0" fontId="50" fillId="0" borderId="79" xfId="0" applyNumberFormat="1" applyFont="1" applyFill="1" applyBorder="1" applyAlignment="1">
      <alignment vertical="center" wrapText="1"/>
    </xf>
    <xf numFmtId="0" fontId="50" fillId="0" borderId="3" xfId="2" applyNumberFormat="1" applyFont="1" applyFill="1" applyBorder="1" applyAlignment="1">
      <alignment vertical="top" wrapText="1"/>
    </xf>
    <xf numFmtId="0" fontId="53" fillId="0" borderId="192" xfId="0" applyFont="1" applyBorder="1" applyAlignment="1">
      <alignment horizontal="center" vertical="center"/>
    </xf>
    <xf numFmtId="0" fontId="53" fillId="0" borderId="36" xfId="0" applyFont="1" applyBorder="1" applyAlignment="1">
      <alignment horizontal="center" vertical="center" wrapText="1"/>
    </xf>
    <xf numFmtId="180" fontId="54" fillId="0" borderId="36" xfId="0" applyNumberFormat="1" applyFont="1" applyBorder="1" applyAlignment="1">
      <alignment vertical="center"/>
    </xf>
    <xf numFmtId="0" fontId="49" fillId="0" borderId="37" xfId="0" applyFont="1" applyBorder="1" applyAlignment="1">
      <alignment vertical="center"/>
    </xf>
    <xf numFmtId="177" fontId="54" fillId="0" borderId="4" xfId="0" applyNumberFormat="1" applyFont="1" applyBorder="1" applyAlignment="1">
      <alignment horizontal="right" vertical="center"/>
    </xf>
    <xf numFmtId="180" fontId="24" fillId="12" borderId="98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177" fontId="6" fillId="17" borderId="13" xfId="0" applyNumberFormat="1" applyFont="1" applyFill="1" applyBorder="1" applyAlignment="1">
      <alignment horizontal="right" vertical="center"/>
    </xf>
    <xf numFmtId="177" fontId="6" fillId="2" borderId="13" xfId="0" applyNumberFormat="1" applyFont="1" applyFill="1" applyBorder="1" applyAlignment="1">
      <alignment horizontal="right" vertical="center"/>
    </xf>
    <xf numFmtId="0" fontId="0" fillId="0" borderId="61" xfId="2" applyNumberFormat="1" applyFont="1" applyFill="1" applyBorder="1" applyAlignment="1">
      <alignment horizontal="left" vertical="top" wrapText="1"/>
    </xf>
    <xf numFmtId="0" fontId="2" fillId="0" borderId="9" xfId="2" applyNumberFormat="1" applyFont="1" applyFill="1" applyBorder="1" applyAlignment="1">
      <alignment horizontal="left" vertical="top" wrapText="1"/>
    </xf>
    <xf numFmtId="41" fontId="0" fillId="0" borderId="1" xfId="6" applyNumberFormat="1" applyFont="1" applyFill="1" applyBorder="1">
      <alignment vertical="center"/>
    </xf>
    <xf numFmtId="0" fontId="28" fillId="0" borderId="9" xfId="2" applyNumberFormat="1" applyFont="1" applyFill="1" applyBorder="1" applyAlignment="1">
      <alignment vertical="top" wrapText="1"/>
    </xf>
    <xf numFmtId="41" fontId="4" fillId="14" borderId="43" xfId="2" applyNumberFormat="1" applyFont="1" applyFill="1" applyBorder="1" applyAlignment="1">
      <alignment horizontal="right" vertical="center" wrapText="1"/>
    </xf>
    <xf numFmtId="0" fontId="0" fillId="2" borderId="3" xfId="2" applyNumberFormat="1" applyFont="1" applyFill="1" applyBorder="1" applyAlignment="1">
      <alignment horizontal="left" wrapText="1"/>
    </xf>
    <xf numFmtId="0" fontId="2" fillId="2" borderId="49" xfId="7" applyNumberFormat="1" applyFont="1" applyFill="1" applyBorder="1" applyAlignment="1">
      <alignment horizontal="left" vertical="top" wrapText="1"/>
    </xf>
    <xf numFmtId="0" fontId="55" fillId="0" borderId="0" xfId="11" applyAlignment="1">
      <alignment vertical="center"/>
    </xf>
    <xf numFmtId="0" fontId="53" fillId="0" borderId="193" xfId="11" applyFont="1" applyBorder="1" applyAlignment="1">
      <alignment horizontal="left" vertical="center"/>
    </xf>
    <xf numFmtId="0" fontId="53" fillId="0" borderId="193" xfId="11" applyFont="1" applyBorder="1" applyAlignment="1">
      <alignment horizontal="right" vertical="center"/>
    </xf>
    <xf numFmtId="0" fontId="61" fillId="18" borderId="197" xfId="11" applyFont="1" applyFill="1" applyBorder="1" applyAlignment="1">
      <alignment horizontal="center" vertical="center"/>
    </xf>
    <xf numFmtId="0" fontId="61" fillId="18" borderId="51" xfId="11" applyFont="1" applyFill="1" applyBorder="1" applyAlignment="1">
      <alignment horizontal="center" vertical="center" wrapText="1"/>
    </xf>
    <xf numFmtId="0" fontId="24" fillId="12" borderId="50" xfId="11" applyFont="1" applyFill="1" applyBorder="1" applyAlignment="1">
      <alignment horizontal="left" vertical="top" wrapText="1"/>
    </xf>
    <xf numFmtId="180" fontId="62" fillId="12" borderId="4" xfId="11" applyNumberFormat="1" applyFont="1" applyFill="1" applyBorder="1" applyAlignment="1">
      <alignment horizontal="right" vertical="center"/>
    </xf>
    <xf numFmtId="180" fontId="62" fillId="0" borderId="4" xfId="11" applyNumberFormat="1" applyFont="1" applyBorder="1" applyAlignment="1">
      <alignment horizontal="right" vertical="center"/>
    </xf>
    <xf numFmtId="180" fontId="63" fillId="12" borderId="4" xfId="11" applyNumberFormat="1" applyFont="1" applyFill="1" applyBorder="1" applyAlignment="1">
      <alignment horizontal="right" vertical="center" wrapText="1"/>
    </xf>
    <xf numFmtId="177" fontId="63" fillId="12" borderId="4" xfId="11" applyNumberFormat="1" applyFont="1" applyFill="1" applyBorder="1" applyAlignment="1">
      <alignment horizontal="right" vertical="center" wrapText="1"/>
    </xf>
    <xf numFmtId="177" fontId="62" fillId="12" borderId="77" xfId="11" applyNumberFormat="1" applyFont="1" applyFill="1" applyBorder="1" applyAlignment="1">
      <alignment horizontal="center" vertical="center" wrapText="1"/>
    </xf>
    <xf numFmtId="0" fontId="24" fillId="12" borderId="36" xfId="11" applyFont="1" applyFill="1" applyBorder="1" applyAlignment="1">
      <alignment horizontal="left" vertical="top" wrapText="1"/>
    </xf>
    <xf numFmtId="180" fontId="26" fillId="12" borderId="36" xfId="11" applyNumberFormat="1" applyFont="1" applyFill="1" applyBorder="1" applyAlignment="1">
      <alignment horizontal="right" vertical="center"/>
    </xf>
    <xf numFmtId="180" fontId="26" fillId="0" borderId="36" xfId="11" applyNumberFormat="1" applyFont="1" applyBorder="1" applyAlignment="1">
      <alignment horizontal="right" vertical="center"/>
    </xf>
    <xf numFmtId="180" fontId="26" fillId="12" borderId="4" xfId="11" applyNumberFormat="1" applyFont="1" applyFill="1" applyBorder="1" applyAlignment="1">
      <alignment horizontal="right" vertical="center" wrapText="1"/>
    </xf>
    <xf numFmtId="177" fontId="26" fillId="12" borderId="4" xfId="11" applyNumberFormat="1" applyFont="1" applyFill="1" applyBorder="1" applyAlignment="1">
      <alignment horizontal="right" vertical="center" wrapText="1"/>
    </xf>
    <xf numFmtId="177" fontId="26" fillId="12" borderId="37" xfId="11" applyNumberFormat="1" applyFont="1" applyFill="1" applyBorder="1" applyAlignment="1">
      <alignment horizontal="left" vertical="center" wrapText="1"/>
    </xf>
    <xf numFmtId="180" fontId="64" fillId="12" borderId="36" xfId="11" applyNumberFormat="1" applyFont="1" applyFill="1" applyBorder="1" applyAlignment="1">
      <alignment horizontal="right" vertical="center"/>
    </xf>
    <xf numFmtId="180" fontId="64" fillId="0" borderId="36" xfId="11" applyNumberFormat="1" applyFont="1" applyBorder="1" applyAlignment="1">
      <alignment horizontal="right" vertical="center"/>
    </xf>
    <xf numFmtId="177" fontId="64" fillId="12" borderId="37" xfId="11" applyNumberFormat="1" applyFont="1" applyFill="1" applyBorder="1" applyAlignment="1">
      <alignment horizontal="center" vertical="center" wrapText="1"/>
    </xf>
    <xf numFmtId="0" fontId="24" fillId="12" borderId="142" xfId="11" applyFont="1" applyFill="1" applyBorder="1" applyAlignment="1">
      <alignment horizontal="left" vertical="top" wrapText="1"/>
    </xf>
    <xf numFmtId="180" fontId="64" fillId="12" borderId="142" xfId="11" applyNumberFormat="1" applyFont="1" applyFill="1" applyBorder="1" applyAlignment="1">
      <alignment horizontal="right" vertical="center"/>
    </xf>
    <xf numFmtId="180" fontId="64" fillId="0" borderId="142" xfId="11" applyNumberFormat="1" applyFont="1" applyBorder="1" applyAlignment="1">
      <alignment horizontal="right" vertical="center"/>
    </xf>
    <xf numFmtId="180" fontId="26" fillId="12" borderId="42" xfId="11" applyNumberFormat="1" applyFont="1" applyFill="1" applyBorder="1" applyAlignment="1">
      <alignment horizontal="right" vertical="center" wrapText="1"/>
    </xf>
    <xf numFmtId="177" fontId="26" fillId="12" borderId="42" xfId="11" applyNumberFormat="1" applyFont="1" applyFill="1" applyBorder="1" applyAlignment="1">
      <alignment horizontal="right" vertical="center" wrapText="1"/>
    </xf>
    <xf numFmtId="177" fontId="64" fillId="12" borderId="38" xfId="11" applyNumberFormat="1" applyFont="1" applyFill="1" applyBorder="1" applyAlignment="1">
      <alignment horizontal="center" vertical="center" wrapText="1"/>
    </xf>
    <xf numFmtId="180" fontId="64" fillId="12" borderId="203" xfId="11" applyNumberFormat="1" applyFont="1" applyFill="1" applyBorder="1" applyAlignment="1">
      <alignment horizontal="right" vertical="center"/>
    </xf>
    <xf numFmtId="180" fontId="64" fillId="0" borderId="203" xfId="11" applyNumberFormat="1" applyFont="1" applyBorder="1" applyAlignment="1">
      <alignment horizontal="right" vertical="center"/>
    </xf>
    <xf numFmtId="180" fontId="64" fillId="12" borderId="203" xfId="11" applyNumberFormat="1" applyFont="1" applyFill="1" applyBorder="1" applyAlignment="1">
      <alignment horizontal="right" vertical="center" wrapText="1"/>
    </xf>
    <xf numFmtId="177" fontId="64" fillId="12" borderId="203" xfId="11" applyNumberFormat="1" applyFont="1" applyFill="1" applyBorder="1" applyAlignment="1">
      <alignment horizontal="right" vertical="center" wrapText="1"/>
    </xf>
    <xf numFmtId="177" fontId="64" fillId="12" borderId="179" xfId="11" applyNumberFormat="1" applyFont="1" applyFill="1" applyBorder="1" applyAlignment="1">
      <alignment horizontal="center" vertical="center" wrapText="1"/>
    </xf>
    <xf numFmtId="177" fontId="62" fillId="12" borderId="205" xfId="11" applyNumberFormat="1" applyFont="1" applyFill="1" applyBorder="1" applyAlignment="1">
      <alignment horizontal="center" vertical="center" wrapText="1"/>
    </xf>
    <xf numFmtId="180" fontId="62" fillId="12" borderId="36" xfId="11" applyNumberFormat="1" applyFont="1" applyFill="1" applyBorder="1" applyAlignment="1">
      <alignment horizontal="right" vertical="center"/>
    </xf>
    <xf numFmtId="180" fontId="62" fillId="0" borderId="36" xfId="11" applyNumberFormat="1" applyFont="1" applyBorder="1" applyAlignment="1">
      <alignment horizontal="right" vertical="center"/>
    </xf>
    <xf numFmtId="177" fontId="62" fillId="12" borderId="38" xfId="11" applyNumberFormat="1" applyFont="1" applyFill="1" applyBorder="1" applyAlignment="1">
      <alignment horizontal="center" vertical="center" wrapText="1"/>
    </xf>
    <xf numFmtId="0" fontId="24" fillId="12" borderId="4" xfId="11" applyFont="1" applyFill="1" applyBorder="1" applyAlignment="1">
      <alignment horizontal="left" vertical="top" wrapText="1"/>
    </xf>
    <xf numFmtId="177" fontId="62" fillId="12" borderId="37" xfId="11" applyNumberFormat="1" applyFont="1" applyFill="1" applyBorder="1" applyAlignment="1">
      <alignment horizontal="center" vertical="center" wrapText="1"/>
    </xf>
    <xf numFmtId="0" fontId="24" fillId="12" borderId="36" xfId="11" applyFont="1" applyFill="1" applyBorder="1" applyAlignment="1">
      <alignment vertical="top" wrapText="1"/>
    </xf>
    <xf numFmtId="180" fontId="62" fillId="12" borderId="36" xfId="11" applyNumberFormat="1" applyFont="1" applyFill="1" applyBorder="1" applyAlignment="1">
      <alignment horizontal="right" vertical="center" wrapText="1"/>
    </xf>
    <xf numFmtId="180" fontId="62" fillId="0" borderId="36" xfId="11" applyNumberFormat="1" applyFont="1" applyBorder="1" applyAlignment="1">
      <alignment horizontal="right" vertical="center" wrapText="1"/>
    </xf>
    <xf numFmtId="0" fontId="24" fillId="12" borderId="142" xfId="11" applyFont="1" applyFill="1" applyBorder="1" applyAlignment="1">
      <alignment horizontal="left" vertical="center" wrapText="1"/>
    </xf>
    <xf numFmtId="180" fontId="24" fillId="12" borderId="23" xfId="11" applyNumberFormat="1" applyFont="1" applyFill="1" applyBorder="1" applyAlignment="1">
      <alignment horizontal="right" vertical="center"/>
    </xf>
    <xf numFmtId="180" fontId="24" fillId="0" borderId="23" xfId="11" applyNumberFormat="1" applyFont="1" applyBorder="1" applyAlignment="1">
      <alignment horizontal="right" vertical="center"/>
    </xf>
    <xf numFmtId="180" fontId="24" fillId="12" borderId="42" xfId="11" applyNumberFormat="1" applyFont="1" applyFill="1" applyBorder="1" applyAlignment="1">
      <alignment horizontal="right" vertical="center"/>
    </xf>
    <xf numFmtId="177" fontId="63" fillId="12" borderId="42" xfId="11" applyNumberFormat="1" applyFont="1" applyFill="1" applyBorder="1" applyAlignment="1">
      <alignment horizontal="right" vertical="center" wrapText="1"/>
    </xf>
    <xf numFmtId="176" fontId="24" fillId="12" borderId="205" xfId="11" applyNumberFormat="1" applyFont="1" applyFill="1" applyBorder="1" applyAlignment="1">
      <alignment horizontal="right" vertical="center"/>
    </xf>
    <xf numFmtId="180" fontId="24" fillId="12" borderId="203" xfId="11" applyNumberFormat="1" applyFont="1" applyFill="1" applyBorder="1" applyAlignment="1">
      <alignment horizontal="right" vertical="center"/>
    </xf>
    <xf numFmtId="180" fontId="24" fillId="0" borderId="203" xfId="11" applyNumberFormat="1" applyFont="1" applyBorder="1" applyAlignment="1">
      <alignment horizontal="right" vertical="center"/>
    </xf>
    <xf numFmtId="177" fontId="63" fillId="12" borderId="203" xfId="11" applyNumberFormat="1" applyFont="1" applyFill="1" applyBorder="1" applyAlignment="1">
      <alignment horizontal="right" vertical="center" wrapText="1"/>
    </xf>
    <xf numFmtId="176" fontId="61" fillId="12" borderId="179" xfId="11" applyNumberFormat="1" applyFont="1" applyFill="1" applyBorder="1" applyAlignment="1">
      <alignment horizontal="right" vertical="center"/>
    </xf>
    <xf numFmtId="180" fontId="24" fillId="12" borderId="50" xfId="11" applyNumberFormat="1" applyFont="1" applyFill="1" applyBorder="1" applyAlignment="1">
      <alignment horizontal="right" vertical="center"/>
    </xf>
    <xf numFmtId="180" fontId="24" fillId="0" borderId="50" xfId="11" applyNumberFormat="1" applyFont="1" applyBorder="1" applyAlignment="1">
      <alignment horizontal="right" vertical="center"/>
    </xf>
    <xf numFmtId="176" fontId="24" fillId="12" borderId="177" xfId="11" applyNumberFormat="1" applyFont="1" applyFill="1" applyBorder="1" applyAlignment="1">
      <alignment horizontal="right" vertical="center"/>
    </xf>
    <xf numFmtId="180" fontId="24" fillId="12" borderId="36" xfId="11" applyNumberFormat="1" applyFont="1" applyFill="1" applyBorder="1" applyAlignment="1">
      <alignment horizontal="right" vertical="center"/>
    </xf>
    <xf numFmtId="180" fontId="24" fillId="0" borderId="36" xfId="11" applyNumberFormat="1" applyFont="1" applyBorder="1" applyAlignment="1">
      <alignment horizontal="right" vertical="center"/>
    </xf>
    <xf numFmtId="180" fontId="24" fillId="12" borderId="4" xfId="11" applyNumberFormat="1" applyFont="1" applyFill="1" applyBorder="1" applyAlignment="1">
      <alignment horizontal="right" vertical="center"/>
    </xf>
    <xf numFmtId="176" fontId="61" fillId="12" borderId="37" xfId="11" applyNumberFormat="1" applyFont="1" applyFill="1" applyBorder="1" applyAlignment="1">
      <alignment horizontal="right" vertical="center"/>
    </xf>
    <xf numFmtId="180" fontId="24" fillId="12" borderId="142" xfId="11" applyNumberFormat="1" applyFont="1" applyFill="1" applyBorder="1" applyAlignment="1">
      <alignment horizontal="right" vertical="center"/>
    </xf>
    <xf numFmtId="180" fontId="24" fillId="0" borderId="142" xfId="11" applyNumberFormat="1" applyFont="1" applyBorder="1" applyAlignment="1">
      <alignment horizontal="right" vertical="center"/>
    </xf>
    <xf numFmtId="176" fontId="61" fillId="12" borderId="38" xfId="11" applyNumberFormat="1" applyFont="1" applyFill="1" applyBorder="1" applyAlignment="1">
      <alignment horizontal="right" vertical="center"/>
    </xf>
    <xf numFmtId="176" fontId="24" fillId="12" borderId="179" xfId="11" applyNumberFormat="1" applyFont="1" applyFill="1" applyBorder="1" applyAlignment="1">
      <alignment horizontal="right" vertical="center"/>
    </xf>
    <xf numFmtId="0" fontId="24" fillId="12" borderId="50" xfId="11" applyFont="1" applyFill="1" applyBorder="1" applyAlignment="1">
      <alignment vertical="top" wrapText="1"/>
    </xf>
    <xf numFmtId="180" fontId="24" fillId="0" borderId="4" xfId="11" applyNumberFormat="1" applyFont="1" applyBorder="1" applyAlignment="1">
      <alignment horizontal="right" vertical="center"/>
    </xf>
    <xf numFmtId="176" fontId="61" fillId="12" borderId="77" xfId="11" applyNumberFormat="1" applyFont="1" applyFill="1" applyBorder="1" applyAlignment="1">
      <alignment horizontal="right" vertical="center"/>
    </xf>
    <xf numFmtId="0" fontId="24" fillId="12" borderId="42" xfId="11" applyFont="1" applyFill="1" applyBorder="1" applyAlignment="1">
      <alignment vertical="top" wrapText="1"/>
    </xf>
    <xf numFmtId="180" fontId="24" fillId="12" borderId="202" xfId="11" applyNumberFormat="1" applyFont="1" applyFill="1" applyBorder="1" applyAlignment="1">
      <alignment horizontal="right" vertical="center"/>
    </xf>
    <xf numFmtId="180" fontId="24" fillId="0" borderId="202" xfId="11" applyNumberFormat="1" applyFont="1" applyBorder="1" applyAlignment="1">
      <alignment horizontal="right" vertical="center"/>
    </xf>
    <xf numFmtId="176" fontId="24" fillId="12" borderId="177" xfId="11" applyNumberFormat="1" applyFont="1" applyFill="1" applyBorder="1" applyAlignment="1">
      <alignment horizontal="left" vertical="top" wrapText="1"/>
    </xf>
    <xf numFmtId="176" fontId="24" fillId="12" borderId="38" xfId="11" applyNumberFormat="1" applyFont="1" applyFill="1" applyBorder="1" applyAlignment="1">
      <alignment horizontal="left" vertical="center" wrapText="1"/>
    </xf>
    <xf numFmtId="180" fontId="61" fillId="12" borderId="203" xfId="11" applyNumberFormat="1" applyFont="1" applyFill="1" applyBorder="1" applyAlignment="1">
      <alignment horizontal="right" vertical="center"/>
    </xf>
    <xf numFmtId="180" fontId="61" fillId="0" borderId="203" xfId="11" applyNumberFormat="1" applyFont="1" applyBorder="1" applyAlignment="1">
      <alignment horizontal="right" vertical="center"/>
    </xf>
    <xf numFmtId="177" fontId="62" fillId="12" borderId="203" xfId="11" applyNumberFormat="1" applyFont="1" applyFill="1" applyBorder="1" applyAlignment="1">
      <alignment horizontal="right" vertical="center" wrapText="1"/>
    </xf>
    <xf numFmtId="0" fontId="61" fillId="12" borderId="200" xfId="11" applyFont="1" applyFill="1" applyBorder="1" applyAlignment="1">
      <alignment horizontal="left" vertical="top" wrapText="1"/>
    </xf>
    <xf numFmtId="180" fontId="24" fillId="12" borderId="71" xfId="11" applyNumberFormat="1" applyFont="1" applyFill="1" applyBorder="1" applyAlignment="1">
      <alignment horizontal="right" vertical="center"/>
    </xf>
    <xf numFmtId="180" fontId="24" fillId="0" borderId="71" xfId="11" applyNumberFormat="1" applyFont="1" applyBorder="1" applyAlignment="1">
      <alignment horizontal="right" vertical="center"/>
    </xf>
    <xf numFmtId="176" fontId="24" fillId="12" borderId="77" xfId="11" applyNumberFormat="1" applyFont="1" applyFill="1" applyBorder="1" applyAlignment="1">
      <alignment horizontal="right" vertical="center"/>
    </xf>
    <xf numFmtId="0" fontId="24" fillId="12" borderId="142" xfId="11" applyFont="1" applyFill="1" applyBorder="1" applyAlignment="1">
      <alignment vertical="top" wrapText="1"/>
    </xf>
    <xf numFmtId="176" fontId="24" fillId="12" borderId="38" xfId="11" applyNumberFormat="1" applyFont="1" applyFill="1" applyBorder="1" applyAlignment="1">
      <alignment horizontal="right" vertical="center"/>
    </xf>
    <xf numFmtId="176" fontId="24" fillId="12" borderId="177" xfId="11" applyNumberFormat="1" applyFont="1" applyFill="1" applyBorder="1" applyAlignment="1">
      <alignment horizontal="left" vertical="center" wrapText="1"/>
    </xf>
    <xf numFmtId="176" fontId="61" fillId="12" borderId="205" xfId="11" applyNumberFormat="1" applyFont="1" applyFill="1" applyBorder="1" applyAlignment="1">
      <alignment horizontal="right" vertical="center"/>
    </xf>
    <xf numFmtId="177" fontId="63" fillId="12" borderId="50" xfId="11" applyNumberFormat="1" applyFont="1" applyFill="1" applyBorder="1" applyAlignment="1">
      <alignment horizontal="right" vertical="center" wrapText="1"/>
    </xf>
    <xf numFmtId="176" fontId="24" fillId="12" borderId="37" xfId="11" applyNumberFormat="1" applyFont="1" applyFill="1" applyBorder="1" applyAlignment="1">
      <alignment horizontal="left" vertical="center"/>
    </xf>
    <xf numFmtId="176" fontId="24" fillId="12" borderId="37" xfId="11" applyNumberFormat="1" applyFont="1" applyFill="1" applyBorder="1" applyAlignment="1">
      <alignment horizontal="right" vertical="center"/>
    </xf>
    <xf numFmtId="176" fontId="24" fillId="12" borderId="38" xfId="11" applyNumberFormat="1" applyFont="1" applyFill="1" applyBorder="1" applyAlignment="1">
      <alignment horizontal="left" vertical="center"/>
    </xf>
    <xf numFmtId="180" fontId="24" fillId="12" borderId="41" xfId="11" applyNumberFormat="1" applyFont="1" applyFill="1" applyBorder="1" applyAlignment="1">
      <alignment horizontal="right" vertical="center"/>
    </xf>
    <xf numFmtId="180" fontId="24" fillId="12" borderId="68" xfId="11" applyNumberFormat="1" applyFont="1" applyFill="1" applyBorder="1" applyAlignment="1">
      <alignment horizontal="right" vertical="center"/>
    </xf>
    <xf numFmtId="177" fontId="63" fillId="12" borderId="142" xfId="11" applyNumberFormat="1" applyFont="1" applyFill="1" applyBorder="1" applyAlignment="1">
      <alignment horizontal="right" vertical="center" wrapText="1"/>
    </xf>
    <xf numFmtId="180" fontId="61" fillId="18" borderId="203" xfId="11" applyNumberFormat="1" applyFont="1" applyFill="1" applyBorder="1" applyAlignment="1">
      <alignment horizontal="right" vertical="center"/>
    </xf>
    <xf numFmtId="177" fontId="61" fillId="18" borderId="201" xfId="11" applyNumberFormat="1" applyFont="1" applyFill="1" applyBorder="1" applyAlignment="1">
      <alignment horizontal="right" vertical="center"/>
    </xf>
    <xf numFmtId="176" fontId="61" fillId="18" borderId="179" xfId="11" applyNumberFormat="1" applyFont="1" applyFill="1" applyBorder="1" applyAlignment="1">
      <alignment horizontal="left" vertical="center"/>
    </xf>
    <xf numFmtId="0" fontId="53" fillId="12" borderId="208" xfId="11" applyFont="1" applyFill="1" applyBorder="1" applyAlignment="1">
      <alignment horizontal="left" vertical="top"/>
    </xf>
    <xf numFmtId="0" fontId="53" fillId="12" borderId="208" xfId="11" applyFont="1" applyFill="1" applyBorder="1" applyAlignment="1">
      <alignment horizontal="right" vertical="top"/>
    </xf>
    <xf numFmtId="0" fontId="24" fillId="12" borderId="178" xfId="11" applyFont="1" applyFill="1" applyBorder="1" applyAlignment="1">
      <alignment vertical="top" wrapText="1"/>
    </xf>
    <xf numFmtId="180" fontId="26" fillId="0" borderId="4" xfId="11" applyNumberFormat="1" applyFont="1" applyBorder="1" applyAlignment="1">
      <alignment horizontal="right" vertical="center"/>
    </xf>
    <xf numFmtId="180" fontId="24" fillId="12" borderId="170" xfId="11" applyNumberFormat="1" applyFont="1" applyFill="1" applyBorder="1" applyAlignment="1">
      <alignment horizontal="right" vertical="center"/>
    </xf>
    <xf numFmtId="177" fontId="24" fillId="12" borderId="138" xfId="11" applyNumberFormat="1" applyFont="1" applyFill="1" applyBorder="1" applyAlignment="1">
      <alignment horizontal="right" vertical="center"/>
    </xf>
    <xf numFmtId="0" fontId="24" fillId="12" borderId="48" xfId="11" applyFont="1" applyFill="1" applyBorder="1" applyAlignment="1">
      <alignment vertical="top" wrapText="1"/>
    </xf>
    <xf numFmtId="180" fontId="26" fillId="6" borderId="36" xfId="11" applyNumberFormat="1" applyFont="1" applyFill="1" applyBorder="1" applyAlignment="1">
      <alignment horizontal="right" vertical="center"/>
    </xf>
    <xf numFmtId="177" fontId="24" fillId="12" borderId="69" xfId="11" applyNumberFormat="1" applyFont="1" applyFill="1" applyBorder="1" applyAlignment="1">
      <alignment horizontal="right" vertical="center"/>
    </xf>
    <xf numFmtId="176" fontId="24" fillId="12" borderId="77" xfId="11" applyNumberFormat="1" applyFont="1" applyFill="1" applyBorder="1" applyAlignment="1">
      <alignment horizontal="left" vertical="center" wrapText="1"/>
    </xf>
    <xf numFmtId="180" fontId="26" fillId="0" borderId="75" xfId="11" applyNumberFormat="1" applyFont="1" applyBorder="1" applyAlignment="1">
      <alignment horizontal="right" vertical="center"/>
    </xf>
    <xf numFmtId="176" fontId="24" fillId="12" borderId="77" xfId="11" applyNumberFormat="1" applyFont="1" applyFill="1" applyBorder="1" applyAlignment="1">
      <alignment horizontal="left" vertical="top" wrapText="1"/>
    </xf>
    <xf numFmtId="180" fontId="26" fillId="0" borderId="210" xfId="11" applyNumberFormat="1" applyFont="1" applyBorder="1" applyAlignment="1">
      <alignment horizontal="right" vertical="center"/>
    </xf>
    <xf numFmtId="177" fontId="24" fillId="12" borderId="0" xfId="11" applyNumberFormat="1" applyFont="1" applyFill="1" applyBorder="1" applyAlignment="1">
      <alignment horizontal="right" vertical="center"/>
    </xf>
    <xf numFmtId="176" fontId="24" fillId="12" borderId="205" xfId="11" applyNumberFormat="1" applyFont="1" applyFill="1" applyBorder="1" applyAlignment="1">
      <alignment vertical="top" wrapText="1"/>
    </xf>
    <xf numFmtId="0" fontId="61" fillId="12" borderId="203" xfId="11" applyFont="1" applyFill="1" applyBorder="1" applyAlignment="1">
      <alignment horizontal="center" vertical="top" wrapText="1"/>
    </xf>
    <xf numFmtId="180" fontId="61" fillId="12" borderId="202" xfId="11" applyNumberFormat="1" applyFont="1" applyFill="1" applyBorder="1" applyAlignment="1">
      <alignment horizontal="right" vertical="center"/>
    </xf>
    <xf numFmtId="177" fontId="61" fillId="12" borderId="201" xfId="11" applyNumberFormat="1" applyFont="1" applyFill="1" applyBorder="1" applyAlignment="1">
      <alignment horizontal="right" vertical="center"/>
    </xf>
    <xf numFmtId="180" fontId="26" fillId="6" borderId="4" xfId="11" applyNumberFormat="1" applyFont="1" applyFill="1" applyBorder="1" applyAlignment="1">
      <alignment horizontal="right" vertical="center"/>
    </xf>
    <xf numFmtId="176" fontId="24" fillId="12" borderId="177" xfId="11" applyNumberFormat="1" applyFont="1" applyFill="1" applyBorder="1" applyAlignment="1">
      <alignment horizontal="left" vertical="top"/>
    </xf>
    <xf numFmtId="0" fontId="24" fillId="12" borderId="23" xfId="11" applyFont="1" applyFill="1" applyBorder="1" applyAlignment="1">
      <alignment vertical="top" wrapText="1"/>
    </xf>
    <xf numFmtId="176" fontId="24" fillId="12" borderId="205" xfId="11" applyNumberFormat="1" applyFont="1" applyFill="1" applyBorder="1" applyAlignment="1">
      <alignment horizontal="left" vertical="top" wrapText="1"/>
    </xf>
    <xf numFmtId="176" fontId="24" fillId="12" borderId="77" xfId="11" applyNumberFormat="1" applyFont="1" applyFill="1" applyBorder="1" applyAlignment="1">
      <alignment vertical="top" wrapText="1"/>
    </xf>
    <xf numFmtId="0" fontId="24" fillId="12" borderId="75" xfId="11" applyFont="1" applyFill="1" applyBorder="1" applyAlignment="1">
      <alignment horizontal="left" vertical="top" wrapText="1"/>
    </xf>
    <xf numFmtId="177" fontId="24" fillId="12" borderId="41" xfId="11" applyNumberFormat="1" applyFont="1" applyFill="1" applyBorder="1" applyAlignment="1">
      <alignment horizontal="right" vertical="center"/>
    </xf>
    <xf numFmtId="176" fontId="24" fillId="12" borderId="38" xfId="11" applyNumberFormat="1" applyFont="1" applyFill="1" applyBorder="1" applyAlignment="1">
      <alignment horizontal="left" vertical="top" wrapText="1"/>
    </xf>
    <xf numFmtId="180" fontId="61" fillId="12" borderId="201" xfId="11" applyNumberFormat="1" applyFont="1" applyFill="1" applyBorder="1" applyAlignment="1">
      <alignment horizontal="right" vertical="center"/>
    </xf>
    <xf numFmtId="0" fontId="24" fillId="12" borderId="4" xfId="11" applyFont="1" applyFill="1" applyBorder="1" applyAlignment="1">
      <alignment vertical="top" wrapText="1"/>
    </xf>
    <xf numFmtId="177" fontId="24" fillId="12" borderId="36" xfId="11" applyNumberFormat="1" applyFont="1" applyFill="1" applyBorder="1" applyAlignment="1">
      <alignment horizontal="right" vertical="center"/>
    </xf>
    <xf numFmtId="176" fontId="24" fillId="12" borderId="211" xfId="11" applyNumberFormat="1" applyFont="1" applyFill="1" applyBorder="1" applyAlignment="1">
      <alignment horizontal="left" vertical="top" wrapText="1"/>
    </xf>
    <xf numFmtId="177" fontId="24" fillId="12" borderId="68" xfId="11" applyNumberFormat="1" applyFont="1" applyFill="1" applyBorder="1" applyAlignment="1">
      <alignment horizontal="right" vertical="center"/>
    </xf>
    <xf numFmtId="177" fontId="61" fillId="12" borderId="203" xfId="11" applyNumberFormat="1" applyFont="1" applyFill="1" applyBorder="1" applyAlignment="1">
      <alignment horizontal="right" vertical="center"/>
    </xf>
    <xf numFmtId="0" fontId="24" fillId="12" borderId="50" xfId="11" applyFont="1" applyFill="1" applyBorder="1" applyAlignment="1">
      <alignment horizontal="left" vertical="top"/>
    </xf>
    <xf numFmtId="0" fontId="24" fillId="12" borderId="4" xfId="11" applyFont="1" applyFill="1" applyBorder="1" applyAlignment="1">
      <alignment horizontal="left" vertical="top"/>
    </xf>
    <xf numFmtId="0" fontId="24" fillId="12" borderId="36" xfId="11" applyFont="1" applyFill="1" applyBorder="1" applyAlignment="1">
      <alignment horizontal="left" vertical="top"/>
    </xf>
    <xf numFmtId="0" fontId="24" fillId="12" borderId="142" xfId="11" applyFont="1" applyFill="1" applyBorder="1" applyAlignment="1">
      <alignment horizontal="left" vertical="top"/>
    </xf>
    <xf numFmtId="177" fontId="24" fillId="12" borderId="201" xfId="11" applyNumberFormat="1" applyFont="1" applyFill="1" applyBorder="1" applyAlignment="1">
      <alignment horizontal="right" vertical="center"/>
    </xf>
    <xf numFmtId="176" fontId="24" fillId="12" borderId="37" xfId="11" applyNumberFormat="1" applyFont="1" applyFill="1" applyBorder="1" applyAlignment="1">
      <alignment horizontal="left" vertical="top" wrapText="1"/>
    </xf>
    <xf numFmtId="0" fontId="24" fillId="12" borderId="170" xfId="11" applyFont="1" applyFill="1" applyBorder="1" applyAlignment="1">
      <alignment horizontal="left" vertical="top" wrapText="1"/>
    </xf>
    <xf numFmtId="180" fontId="24" fillId="12" borderId="201" xfId="11" applyNumberFormat="1" applyFont="1" applyFill="1" applyBorder="1" applyAlignment="1">
      <alignment horizontal="right" vertical="center"/>
    </xf>
    <xf numFmtId="177" fontId="24" fillId="12" borderId="203" xfId="11" applyNumberFormat="1" applyFont="1" applyFill="1" applyBorder="1" applyAlignment="1">
      <alignment horizontal="right" vertical="center"/>
    </xf>
    <xf numFmtId="0" fontId="61" fillId="12" borderId="209" xfId="11" applyFont="1" applyFill="1" applyBorder="1" applyAlignment="1">
      <alignment vertical="top" wrapText="1"/>
    </xf>
    <xf numFmtId="179" fontId="24" fillId="12" borderId="77" xfId="11" applyNumberFormat="1" applyFont="1" applyFill="1" applyBorder="1" applyAlignment="1">
      <alignment horizontal="right" vertical="center"/>
    </xf>
    <xf numFmtId="0" fontId="61" fillId="12" borderId="204" xfId="11" applyFont="1" applyFill="1" applyBorder="1" applyAlignment="1">
      <alignment vertical="top" wrapText="1"/>
    </xf>
    <xf numFmtId="0" fontId="61" fillId="12" borderId="206" xfId="11" applyFont="1" applyFill="1" applyBorder="1" applyAlignment="1">
      <alignment vertical="top" wrapText="1"/>
    </xf>
    <xf numFmtId="180" fontId="26" fillId="12" borderId="50" xfId="11" applyNumberFormat="1" applyFont="1" applyFill="1" applyBorder="1" applyAlignment="1">
      <alignment horizontal="right" vertical="center"/>
    </xf>
    <xf numFmtId="180" fontId="24" fillId="12" borderId="138" xfId="11" applyNumberFormat="1" applyFont="1" applyFill="1" applyBorder="1" applyAlignment="1">
      <alignment horizontal="right" vertical="center"/>
    </xf>
    <xf numFmtId="176" fontId="24" fillId="12" borderId="170" xfId="11" applyNumberFormat="1" applyFont="1" applyFill="1" applyBorder="1" applyAlignment="1">
      <alignment horizontal="right" vertical="center"/>
    </xf>
    <xf numFmtId="176" fontId="24" fillId="12" borderId="212" xfId="11" applyNumberFormat="1" applyFont="1" applyFill="1" applyBorder="1" applyAlignment="1">
      <alignment horizontal="right" vertical="center"/>
    </xf>
    <xf numFmtId="180" fontId="26" fillId="12" borderId="42" xfId="11" applyNumberFormat="1" applyFont="1" applyFill="1" applyBorder="1" applyAlignment="1">
      <alignment horizontal="right" vertical="center"/>
    </xf>
    <xf numFmtId="176" fontId="24" fillId="12" borderId="142" xfId="11" applyNumberFormat="1" applyFont="1" applyFill="1" applyBorder="1" applyAlignment="1">
      <alignment horizontal="right" vertical="center"/>
    </xf>
    <xf numFmtId="176" fontId="24" fillId="12" borderId="203" xfId="11" applyNumberFormat="1" applyFont="1" applyFill="1" applyBorder="1" applyAlignment="1">
      <alignment horizontal="right" vertical="center"/>
    </xf>
    <xf numFmtId="176" fontId="24" fillId="12" borderId="213" xfId="11" applyNumberFormat="1" applyFont="1" applyFill="1" applyBorder="1" applyAlignment="1">
      <alignment horizontal="right" vertical="center"/>
    </xf>
    <xf numFmtId="176" fontId="24" fillId="12" borderId="214" xfId="11" applyNumberFormat="1" applyFont="1" applyFill="1" applyBorder="1" applyAlignment="1">
      <alignment horizontal="right" vertical="center"/>
    </xf>
    <xf numFmtId="0" fontId="61" fillId="19" borderId="204" xfId="11" applyFont="1" applyFill="1" applyBorder="1" applyAlignment="1">
      <alignment vertical="top" wrapText="1"/>
    </xf>
    <xf numFmtId="0" fontId="24" fillId="19" borderId="42" xfId="11" applyFont="1" applyFill="1" applyBorder="1" applyAlignment="1">
      <alignment vertical="top" wrapText="1"/>
    </xf>
    <xf numFmtId="0" fontId="24" fillId="19" borderId="68" xfId="11" applyFont="1" applyFill="1" applyBorder="1" applyAlignment="1">
      <alignment vertical="top" wrapText="1"/>
    </xf>
    <xf numFmtId="176" fontId="61" fillId="18" borderId="179" xfId="11" applyNumberFormat="1" applyFont="1" applyFill="1" applyBorder="1" applyAlignment="1">
      <alignment horizontal="right" vertical="center"/>
    </xf>
    <xf numFmtId="0" fontId="55" fillId="0" borderId="0" xfId="11" applyAlignment="1">
      <alignment horizontal="right" vertical="center"/>
    </xf>
    <xf numFmtId="41" fontId="4" fillId="11" borderId="58" xfId="0" applyNumberFormat="1" applyFont="1" applyFill="1" applyBorder="1" applyAlignment="1">
      <alignment horizontal="right" vertical="center"/>
    </xf>
    <xf numFmtId="176" fontId="4" fillId="11" borderId="45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11" borderId="8" xfId="0" applyNumberFormat="1" applyFont="1" applyFill="1" applyBorder="1" applyAlignment="1">
      <alignment horizontal="right" vertical="center"/>
    </xf>
    <xf numFmtId="176" fontId="4" fillId="11" borderId="8" xfId="0" applyNumberFormat="1" applyFont="1" applyFill="1" applyBorder="1" applyAlignment="1">
      <alignment horizontal="right" vertical="center"/>
    </xf>
    <xf numFmtId="177" fontId="4" fillId="0" borderId="159" xfId="0" applyNumberFormat="1" applyFont="1" applyFill="1" applyBorder="1" applyAlignment="1">
      <alignment horizontal="right" vertical="center"/>
    </xf>
    <xf numFmtId="177" fontId="4" fillId="11" borderId="13" xfId="0" applyNumberFormat="1" applyFont="1" applyFill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0" fillId="2" borderId="3" xfId="2" applyNumberFormat="1" applyFont="1" applyFill="1" applyBorder="1" applyAlignment="1">
      <alignment wrapText="1"/>
    </xf>
    <xf numFmtId="180" fontId="24" fillId="12" borderId="173" xfId="2" applyNumberFormat="1" applyFont="1" applyFill="1" applyBorder="1" applyAlignment="1">
      <alignment horizontal="right" vertical="center" wrapText="1"/>
    </xf>
    <xf numFmtId="41" fontId="2" fillId="2" borderId="6" xfId="3" applyNumberFormat="1" applyFont="1" applyFill="1" applyBorder="1" applyAlignment="1">
      <alignment vertical="top" wrapText="1"/>
    </xf>
    <xf numFmtId="41" fontId="2" fillId="2" borderId="89" xfId="3" applyNumberFormat="1" applyFont="1" applyFill="1" applyBorder="1" applyAlignment="1">
      <alignment horizontal="left" vertical="center" wrapText="1"/>
    </xf>
    <xf numFmtId="41" fontId="2" fillId="2" borderId="9" xfId="2" applyNumberFormat="1" applyFont="1" applyFill="1" applyBorder="1" applyAlignment="1">
      <alignment horizontal="right" vertical="center" wrapText="1"/>
    </xf>
    <xf numFmtId="176" fontId="4" fillId="2" borderId="49" xfId="2" applyNumberFormat="1" applyFont="1" applyFill="1" applyBorder="1" applyAlignment="1">
      <alignment horizontal="right" vertical="center" wrapText="1"/>
    </xf>
    <xf numFmtId="41" fontId="4" fillId="2" borderId="45" xfId="3" applyNumberFormat="1" applyFont="1" applyFill="1" applyBorder="1" applyAlignment="1">
      <alignment horizontal="right" vertical="center" wrapText="1"/>
    </xf>
    <xf numFmtId="41" fontId="2" fillId="2" borderId="2" xfId="3" applyNumberFormat="1" applyFont="1" applyFill="1" applyBorder="1" applyAlignment="1">
      <alignment horizontal="left" vertical="center" wrapText="1"/>
    </xf>
    <xf numFmtId="182" fontId="0" fillId="2" borderId="1" xfId="3" applyNumberFormat="1" applyFont="1" applyFill="1" applyBorder="1" applyAlignment="1">
      <alignment horizontal="right" vertical="center" wrapText="1"/>
    </xf>
    <xf numFmtId="182" fontId="0" fillId="2" borderId="9" xfId="3" applyNumberFormat="1" applyFont="1" applyFill="1" applyBorder="1" applyAlignment="1">
      <alignment horizontal="right" vertical="center" wrapText="1"/>
    </xf>
    <xf numFmtId="182" fontId="4" fillId="2" borderId="109" xfId="3" applyNumberFormat="1" applyFont="1" applyFill="1" applyBorder="1" applyAlignment="1">
      <alignment horizontal="right" vertical="center" wrapText="1"/>
    </xf>
    <xf numFmtId="176" fontId="0" fillId="2" borderId="116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18" xfId="0" applyBorder="1">
      <alignment vertical="center"/>
    </xf>
    <xf numFmtId="0" fontId="24" fillId="6" borderId="82" xfId="0" applyFont="1" applyFill="1" applyBorder="1" applyAlignment="1">
      <alignment vertical="center" wrapText="1"/>
    </xf>
    <xf numFmtId="181" fontId="48" fillId="13" borderId="9" xfId="10" applyNumberFormat="1" applyFont="1" applyFill="1" applyBorder="1" applyAlignment="1">
      <alignment horizontal="center" vertical="center" wrapText="1"/>
    </xf>
    <xf numFmtId="181" fontId="48" fillId="13" borderId="8" xfId="10" applyNumberFormat="1" applyFont="1" applyFill="1" applyBorder="1" applyAlignment="1">
      <alignment horizontal="center" vertical="center" wrapText="1"/>
    </xf>
    <xf numFmtId="181" fontId="32" fillId="13" borderId="4" xfId="9" applyNumberFormat="1" applyFont="1" applyFill="1" applyBorder="1" applyAlignment="1">
      <alignment horizontal="right" vertical="center"/>
    </xf>
    <xf numFmtId="181" fontId="32" fillId="13" borderId="42" xfId="9" applyNumberFormat="1" applyFont="1" applyFill="1" applyBorder="1" applyAlignment="1">
      <alignment horizontal="right" vertical="center"/>
    </xf>
    <xf numFmtId="181" fontId="32" fillId="13" borderId="53" xfId="9" applyNumberFormat="1" applyFont="1" applyFill="1" applyBorder="1" applyAlignment="1">
      <alignment horizontal="right" vertical="center"/>
    </xf>
    <xf numFmtId="181" fontId="32" fillId="13" borderId="54" xfId="9" applyNumberFormat="1" applyFont="1" applyFill="1" applyBorder="1" applyAlignment="1">
      <alignment horizontal="right" vertical="center"/>
    </xf>
    <xf numFmtId="181" fontId="46" fillId="13" borderId="125" xfId="9" applyNumberFormat="1" applyFont="1" applyFill="1" applyBorder="1" applyAlignment="1">
      <alignment horizontal="right" vertical="center"/>
    </xf>
    <xf numFmtId="181" fontId="46" fillId="13" borderId="74" xfId="9" applyNumberFormat="1" applyFont="1" applyFill="1" applyBorder="1" applyAlignment="1">
      <alignment horizontal="right" vertical="center"/>
    </xf>
    <xf numFmtId="181" fontId="32" fillId="13" borderId="9" xfId="9" applyNumberFormat="1" applyFont="1" applyFill="1" applyBorder="1" applyAlignment="1">
      <alignment horizontal="right" vertical="center"/>
    </xf>
    <xf numFmtId="181" fontId="32" fillId="13" borderId="3" xfId="9" applyNumberFormat="1" applyFont="1" applyFill="1" applyBorder="1" applyAlignment="1">
      <alignment horizontal="right" vertical="center"/>
    </xf>
    <xf numFmtId="181" fontId="32" fillId="13" borderId="10" xfId="9" applyNumberFormat="1" applyFont="1" applyFill="1" applyBorder="1" applyAlignment="1">
      <alignment horizontal="right" vertical="center"/>
    </xf>
    <xf numFmtId="181" fontId="32" fillId="13" borderId="1" xfId="9" applyNumberFormat="1" applyFont="1" applyFill="1" applyBorder="1" applyAlignment="1">
      <alignment horizontal="right" vertical="center"/>
    </xf>
    <xf numFmtId="181" fontId="32" fillId="13" borderId="51" xfId="9" applyNumberFormat="1" applyFont="1" applyFill="1" applyBorder="1" applyAlignment="1">
      <alignment horizontal="right" vertical="center"/>
    </xf>
    <xf numFmtId="181" fontId="46" fillId="13" borderId="10" xfId="9" applyNumberFormat="1" applyFont="1" applyFill="1" applyBorder="1" applyAlignment="1">
      <alignment horizontal="right" vertical="center"/>
    </xf>
    <xf numFmtId="181" fontId="32" fillId="13" borderId="12" xfId="9" applyNumberFormat="1" applyFont="1" applyFill="1" applyBorder="1" applyAlignment="1">
      <alignment horizontal="right" vertical="center"/>
    </xf>
    <xf numFmtId="181" fontId="46" fillId="16" borderId="43" xfId="9" applyNumberFormat="1" applyFont="1" applyFill="1" applyBorder="1" applyAlignment="1">
      <alignment horizontal="right" vertical="center"/>
    </xf>
    <xf numFmtId="181" fontId="32" fillId="13" borderId="19" xfId="9" applyNumberFormat="1" applyFont="1" applyFill="1" applyBorder="1" applyAlignment="1">
      <alignment horizontal="right" vertical="center"/>
    </xf>
    <xf numFmtId="181" fontId="32" fillId="13" borderId="23" xfId="9" applyNumberFormat="1" applyFont="1" applyFill="1" applyBorder="1" applyAlignment="1">
      <alignment horizontal="right" vertical="center"/>
    </xf>
    <xf numFmtId="181" fontId="32" fillId="13" borderId="57" xfId="9" applyNumberFormat="1" applyFont="1" applyFill="1" applyBorder="1" applyAlignment="1">
      <alignment horizontal="right" vertical="center"/>
    </xf>
    <xf numFmtId="181" fontId="46" fillId="13" borderId="8" xfId="9" applyNumberFormat="1" applyFont="1" applyFill="1" applyBorder="1" applyAlignment="1">
      <alignment horizontal="right" vertical="center"/>
    </xf>
    <xf numFmtId="181" fontId="32" fillId="13" borderId="50" xfId="9" applyNumberFormat="1" applyFont="1" applyFill="1" applyBorder="1" applyAlignment="1">
      <alignment horizontal="right" vertical="center"/>
    </xf>
    <xf numFmtId="181" fontId="46" fillId="13" borderId="51" xfId="9" applyNumberFormat="1" applyFont="1" applyFill="1" applyBorder="1" applyAlignment="1">
      <alignment horizontal="right" vertical="center"/>
    </xf>
    <xf numFmtId="181" fontId="32" fillId="13" borderId="41" xfId="9" applyNumberFormat="1" applyFont="1" applyFill="1" applyBorder="1" applyAlignment="1">
      <alignment horizontal="right" vertical="center"/>
    </xf>
    <xf numFmtId="181" fontId="1" fillId="0" borderId="0" xfId="9" applyNumberFormat="1">
      <alignment vertical="center"/>
    </xf>
    <xf numFmtId="181" fontId="4" fillId="5" borderId="26" xfId="7" applyNumberFormat="1" applyFont="1" applyFill="1" applyBorder="1" applyAlignment="1">
      <alignment horizontal="center" vertical="center"/>
    </xf>
    <xf numFmtId="181" fontId="4" fillId="5" borderId="10" xfId="7" applyNumberFormat="1" applyFont="1" applyFill="1" applyBorder="1" applyAlignment="1">
      <alignment horizontal="center" vertical="center" wrapText="1"/>
    </xf>
    <xf numFmtId="181" fontId="2" fillId="2" borderId="9" xfId="7" applyNumberFormat="1" applyFont="1" applyFill="1" applyBorder="1" applyAlignment="1">
      <alignment horizontal="left" vertical="top" wrapText="1"/>
    </xf>
    <xf numFmtId="181" fontId="5" fillId="2" borderId="9" xfId="8" applyNumberFormat="1" applyFont="1" applyFill="1" applyBorder="1" applyAlignment="1">
      <alignment horizontal="center" vertical="center" wrapText="1"/>
    </xf>
    <xf numFmtId="181" fontId="6" fillId="2" borderId="9" xfId="8" applyNumberFormat="1" applyFont="1" applyFill="1" applyBorder="1" applyAlignment="1">
      <alignment horizontal="center" vertical="center" wrapText="1"/>
    </xf>
    <xf numFmtId="181" fontId="0" fillId="2" borderId="9" xfId="8" applyNumberFormat="1" applyFont="1" applyFill="1" applyBorder="1" applyAlignment="1">
      <alignment horizontal="right" vertical="center" wrapText="1"/>
    </xf>
    <xf numFmtId="181" fontId="5" fillId="2" borderId="25" xfId="8" applyNumberFormat="1" applyFont="1" applyFill="1" applyBorder="1" applyAlignment="1">
      <alignment horizontal="center" vertical="center" wrapText="1"/>
    </xf>
    <xf numFmtId="181" fontId="2" fillId="2" borderId="3" xfId="7" applyNumberFormat="1" applyFont="1" applyFill="1" applyBorder="1" applyAlignment="1">
      <alignment horizontal="left" vertical="top" wrapText="1"/>
    </xf>
    <xf numFmtId="181" fontId="33" fillId="13" borderId="3" xfId="8" applyNumberFormat="1" applyFont="1" applyFill="1" applyBorder="1" applyAlignment="1">
      <alignment horizontal="center" vertical="center" wrapText="1"/>
    </xf>
    <xf numFmtId="181" fontId="0" fillId="2" borderId="3" xfId="8" applyNumberFormat="1" applyFont="1" applyFill="1" applyBorder="1" applyAlignment="1">
      <alignment horizontal="center" vertical="center" wrapText="1"/>
    </xf>
    <xf numFmtId="181" fontId="5" fillId="2" borderId="6" xfId="8" applyNumberFormat="1" applyFont="1" applyFill="1" applyBorder="1" applyAlignment="1">
      <alignment horizontal="center" vertical="center" wrapText="1"/>
    </xf>
    <xf numFmtId="181" fontId="5" fillId="2" borderId="8" xfId="8" applyNumberFormat="1" applyFont="1" applyFill="1" applyBorder="1" applyAlignment="1">
      <alignment horizontal="center" vertical="center" wrapText="1"/>
    </xf>
    <xf numFmtId="181" fontId="5" fillId="2" borderId="8" xfId="8" applyNumberFormat="1" applyFont="1" applyFill="1" applyBorder="1" applyAlignment="1">
      <alignment horizontal="right" vertical="center" wrapText="1"/>
    </xf>
    <xf numFmtId="181" fontId="5" fillId="2" borderId="7" xfId="8" applyNumberFormat="1" applyFont="1" applyFill="1" applyBorder="1" applyAlignment="1">
      <alignment horizontal="center" vertical="center" wrapText="1"/>
    </xf>
    <xf numFmtId="181" fontId="5" fillId="2" borderId="45" xfId="8" applyNumberFormat="1" applyFont="1" applyFill="1" applyBorder="1" applyAlignment="1">
      <alignment horizontal="center" vertical="center" wrapText="1"/>
    </xf>
    <xf numFmtId="181" fontId="5" fillId="2" borderId="3" xfId="8" applyNumberFormat="1" applyFont="1" applyFill="1" applyBorder="1" applyAlignment="1">
      <alignment horizontal="center" vertical="center" wrapText="1"/>
    </xf>
    <xf numFmtId="181" fontId="5" fillId="2" borderId="39" xfId="8" applyNumberFormat="1" applyFont="1" applyFill="1" applyBorder="1" applyAlignment="1">
      <alignment horizontal="center" vertical="center" wrapText="1"/>
    </xf>
    <xf numFmtId="181" fontId="2" fillId="2" borderId="3" xfId="7" applyNumberFormat="1" applyFont="1" applyFill="1" applyBorder="1" applyAlignment="1">
      <alignment vertical="top" wrapText="1"/>
    </xf>
    <xf numFmtId="181" fontId="2" fillId="2" borderId="19" xfId="7" applyNumberFormat="1" applyFont="1" applyFill="1" applyBorder="1" applyAlignment="1">
      <alignment horizontal="right" vertical="center"/>
    </xf>
    <xf numFmtId="181" fontId="2" fillId="2" borderId="4" xfId="7" applyNumberFormat="1" applyFont="1" applyFill="1" applyBorder="1" applyAlignment="1">
      <alignment horizontal="right" vertical="center"/>
    </xf>
    <xf numFmtId="181" fontId="2" fillId="2" borderId="5" xfId="7" applyNumberFormat="1" applyFont="1" applyFill="1" applyBorder="1" applyAlignment="1">
      <alignment horizontal="right" vertical="center"/>
    </xf>
    <xf numFmtId="181" fontId="2" fillId="2" borderId="10" xfId="7" applyNumberFormat="1" applyFont="1" applyFill="1" applyBorder="1" applyAlignment="1">
      <alignment horizontal="right" vertical="center"/>
    </xf>
    <xf numFmtId="181" fontId="2" fillId="2" borderId="42" xfId="7" applyNumberFormat="1" applyFont="1" applyFill="1" applyBorder="1" applyAlignment="1">
      <alignment horizontal="right" vertical="center"/>
    </xf>
    <xf numFmtId="181" fontId="0" fillId="2" borderId="123" xfId="8" applyNumberFormat="1" applyFont="1" applyFill="1" applyBorder="1" applyAlignment="1">
      <alignment horizontal="right" vertical="center" wrapText="1"/>
    </xf>
    <xf numFmtId="181" fontId="4" fillId="2" borderId="11" xfId="7" applyNumberFormat="1" applyFont="1" applyFill="1" applyBorder="1" applyAlignment="1">
      <alignment horizontal="right" vertical="center"/>
    </xf>
    <xf numFmtId="181" fontId="2" fillId="2" borderId="1" xfId="7" applyNumberFormat="1" applyFont="1" applyFill="1" applyBorder="1" applyAlignment="1">
      <alignment horizontal="left" vertical="top" wrapText="1"/>
    </xf>
    <xf numFmtId="181" fontId="2" fillId="2" borderId="1" xfId="7" applyNumberFormat="1" applyFont="1" applyFill="1" applyBorder="1" applyAlignment="1">
      <alignment horizontal="right" vertical="center"/>
    </xf>
    <xf numFmtId="181" fontId="2" fillId="2" borderId="53" xfId="7" applyNumberFormat="1" applyFont="1" applyFill="1" applyBorder="1" applyAlignment="1">
      <alignment horizontal="right" vertical="center"/>
    </xf>
    <xf numFmtId="181" fontId="2" fillId="2" borderId="2" xfId="7" applyNumberFormat="1" applyFont="1" applyFill="1" applyBorder="1" applyAlignment="1">
      <alignment horizontal="right" vertical="center"/>
    </xf>
    <xf numFmtId="181" fontId="2" fillId="2" borderId="3" xfId="7" applyNumberFormat="1" applyFont="1" applyFill="1" applyBorder="1" applyAlignment="1">
      <alignment horizontal="right" vertical="center"/>
    </xf>
    <xf numFmtId="181" fontId="2" fillId="2" borderId="54" xfId="7" applyNumberFormat="1" applyFont="1" applyFill="1" applyBorder="1" applyAlignment="1">
      <alignment horizontal="right" vertical="center"/>
    </xf>
    <xf numFmtId="181" fontId="4" fillId="2" borderId="6" xfId="7" applyNumberFormat="1" applyFont="1" applyFill="1" applyBorder="1" applyAlignment="1">
      <alignment horizontal="right" vertical="center"/>
    </xf>
    <xf numFmtId="181" fontId="32" fillId="13" borderId="3" xfId="7" applyNumberFormat="1" applyFont="1" applyFill="1" applyBorder="1" applyAlignment="1">
      <alignment horizontal="right" vertical="center"/>
    </xf>
    <xf numFmtId="181" fontId="5" fillId="2" borderId="8" xfId="7" applyNumberFormat="1" applyFont="1" applyFill="1" applyBorder="1" applyAlignment="1">
      <alignment horizontal="right" vertical="center"/>
    </xf>
    <xf numFmtId="181" fontId="5" fillId="2" borderId="125" xfId="7" applyNumberFormat="1" applyFont="1" applyFill="1" applyBorder="1" applyAlignment="1">
      <alignment horizontal="right" vertical="center"/>
    </xf>
    <xf numFmtId="181" fontId="5" fillId="2" borderId="109" xfId="8" applyNumberFormat="1" applyFont="1" applyFill="1" applyBorder="1" applyAlignment="1">
      <alignment horizontal="right" vertical="center" wrapText="1"/>
    </xf>
    <xf numFmtId="181" fontId="2" fillId="2" borderId="7" xfId="7" applyNumberFormat="1" applyFont="1" applyFill="1" applyBorder="1" applyAlignment="1">
      <alignment horizontal="right" vertical="center"/>
    </xf>
    <xf numFmtId="181" fontId="2" fillId="2" borderId="9" xfId="7" applyNumberFormat="1" applyFont="1" applyFill="1" applyBorder="1" applyAlignment="1">
      <alignment vertical="top" wrapText="1"/>
    </xf>
    <xf numFmtId="181" fontId="32" fillId="13" borderId="9" xfId="7" applyNumberFormat="1" applyFont="1" applyFill="1" applyBorder="1" applyAlignment="1">
      <alignment horizontal="center" vertical="center"/>
    </xf>
    <xf numFmtId="181" fontId="2" fillId="2" borderId="9" xfId="7" applyNumberFormat="1" applyFont="1" applyFill="1" applyBorder="1" applyAlignment="1">
      <alignment horizontal="right" vertical="center"/>
    </xf>
    <xf numFmtId="181" fontId="2" fillId="2" borderId="9" xfId="7" applyNumberFormat="1" applyFont="1" applyFill="1" applyBorder="1" applyAlignment="1">
      <alignment horizontal="center" vertical="center"/>
    </xf>
    <xf numFmtId="181" fontId="2" fillId="2" borderId="4" xfId="7" applyNumberFormat="1" applyFont="1" applyFill="1" applyBorder="1" applyAlignment="1">
      <alignment horizontal="center" vertical="center"/>
    </xf>
    <xf numFmtId="181" fontId="2" fillId="2" borderId="25" xfId="7" applyNumberFormat="1" applyFont="1" applyFill="1" applyBorder="1" applyAlignment="1">
      <alignment horizontal="left" vertical="center"/>
    </xf>
    <xf numFmtId="181" fontId="5" fillId="2" borderId="20" xfId="7" applyNumberFormat="1" applyFont="1" applyFill="1" applyBorder="1" applyAlignment="1">
      <alignment horizontal="right" vertical="center"/>
    </xf>
    <xf numFmtId="181" fontId="5" fillId="2" borderId="74" xfId="7" applyNumberFormat="1" applyFont="1" applyFill="1" applyBorder="1" applyAlignment="1">
      <alignment horizontal="right" vertical="center"/>
    </xf>
    <xf numFmtId="181" fontId="5" fillId="2" borderId="123" xfId="8" applyNumberFormat="1" applyFont="1" applyFill="1" applyBorder="1" applyAlignment="1">
      <alignment horizontal="right" vertical="center" wrapText="1"/>
    </xf>
    <xf numFmtId="181" fontId="2" fillId="2" borderId="11" xfId="7" applyNumberFormat="1" applyFont="1" applyFill="1" applyBorder="1" applyAlignment="1">
      <alignment horizontal="right" vertical="center"/>
    </xf>
    <xf numFmtId="181" fontId="32" fillId="13" borderId="9" xfId="7" applyNumberFormat="1" applyFont="1" applyFill="1" applyBorder="1" applyAlignment="1">
      <alignment horizontal="right" vertical="center"/>
    </xf>
    <xf numFmtId="181" fontId="2" fillId="2" borderId="1" xfId="7" applyNumberFormat="1" applyFont="1" applyFill="1" applyBorder="1" applyAlignment="1">
      <alignment horizontal="center" vertical="center"/>
    </xf>
    <xf numFmtId="181" fontId="2" fillId="2" borderId="3" xfId="7" applyNumberFormat="1" applyFont="1" applyFill="1" applyBorder="1" applyAlignment="1">
      <alignment horizontal="center" vertical="center"/>
    </xf>
    <xf numFmtId="181" fontId="2" fillId="2" borderId="6" xfId="7" applyNumberFormat="1" applyFont="1" applyFill="1" applyBorder="1" applyAlignment="1">
      <alignment horizontal="right" vertical="center"/>
    </xf>
    <xf numFmtId="181" fontId="5" fillId="2" borderId="123" xfId="7" applyNumberFormat="1" applyFont="1" applyFill="1" applyBorder="1" applyAlignment="1">
      <alignment horizontal="right" vertical="center"/>
    </xf>
    <xf numFmtId="181" fontId="4" fillId="2" borderId="52" xfId="7" applyNumberFormat="1" applyFont="1" applyFill="1" applyBorder="1" applyAlignment="1">
      <alignment horizontal="left" vertical="top" wrapText="1"/>
    </xf>
    <xf numFmtId="181" fontId="0" fillId="2" borderId="1" xfId="8" applyNumberFormat="1" applyFont="1" applyFill="1" applyBorder="1" applyAlignment="1">
      <alignment horizontal="right" vertical="center" wrapText="1"/>
    </xf>
    <xf numFmtId="181" fontId="4" fillId="2" borderId="87" xfId="7" applyNumberFormat="1" applyFont="1" applyFill="1" applyBorder="1" applyAlignment="1">
      <alignment horizontal="left" vertical="top" wrapText="1"/>
    </xf>
    <xf numFmtId="181" fontId="2" fillId="2" borderId="25" xfId="7" applyNumberFormat="1" applyFont="1" applyFill="1" applyBorder="1" applyAlignment="1">
      <alignment horizontal="right" vertical="center"/>
    </xf>
    <xf numFmtId="181" fontId="2" fillId="2" borderId="27" xfId="7" applyNumberFormat="1" applyFont="1" applyFill="1" applyBorder="1" applyAlignment="1">
      <alignment horizontal="right" vertical="center"/>
    </xf>
    <xf numFmtId="181" fontId="4" fillId="2" borderId="27" xfId="7" applyNumberFormat="1" applyFont="1" applyFill="1" applyBorder="1" applyAlignment="1">
      <alignment horizontal="right" vertical="center"/>
    </xf>
    <xf numFmtId="181" fontId="4" fillId="2" borderId="10" xfId="7" applyNumberFormat="1" applyFont="1" applyFill="1" applyBorder="1" applyAlignment="1">
      <alignment horizontal="right" vertical="center"/>
    </xf>
    <xf numFmtId="181" fontId="4" fillId="2" borderId="27" xfId="8" applyNumberFormat="1" applyFont="1" applyFill="1" applyBorder="1" applyAlignment="1">
      <alignment horizontal="right" vertical="center" wrapText="1"/>
    </xf>
    <xf numFmtId="181" fontId="32" fillId="13" borderId="4" xfId="7" applyNumberFormat="1" applyFont="1" applyFill="1" applyBorder="1" applyAlignment="1">
      <alignment horizontal="right" vertical="center"/>
    </xf>
    <xf numFmtId="181" fontId="2" fillId="2" borderId="19" xfId="7" applyNumberFormat="1" applyFont="1" applyFill="1" applyBorder="1" applyAlignment="1">
      <alignment horizontal="center" vertical="center"/>
    </xf>
    <xf numFmtId="181" fontId="0" fillId="2" borderId="81" xfId="8" applyNumberFormat="1" applyFont="1" applyFill="1" applyBorder="1" applyAlignment="1">
      <alignment horizontal="right" vertical="center" wrapText="1"/>
    </xf>
    <xf numFmtId="181" fontId="4" fillId="2" borderId="5" xfId="7" applyNumberFormat="1" applyFont="1" applyFill="1" applyBorder="1" applyAlignment="1">
      <alignment horizontal="right" vertical="center"/>
    </xf>
    <xf numFmtId="181" fontId="2" fillId="2" borderId="23" xfId="7" applyNumberFormat="1" applyFont="1" applyFill="1" applyBorder="1" applyAlignment="1">
      <alignment horizontal="right" vertical="center"/>
    </xf>
    <xf numFmtId="181" fontId="4" fillId="2" borderId="24" xfId="7" applyNumberFormat="1" applyFont="1" applyFill="1" applyBorder="1" applyAlignment="1">
      <alignment horizontal="right" vertical="center"/>
    </xf>
    <xf numFmtId="181" fontId="5" fillId="2" borderId="10" xfId="7" applyNumberFormat="1" applyFont="1" applyFill="1" applyBorder="1" applyAlignment="1">
      <alignment horizontal="right" vertical="center"/>
    </xf>
    <xf numFmtId="181" fontId="5" fillId="2" borderId="27" xfId="8" applyNumberFormat="1" applyFont="1" applyFill="1" applyBorder="1" applyAlignment="1">
      <alignment horizontal="right" vertical="center" wrapText="1"/>
    </xf>
    <xf numFmtId="181" fontId="4" fillId="2" borderId="7" xfId="7" applyNumberFormat="1" applyFont="1" applyFill="1" applyBorder="1" applyAlignment="1">
      <alignment horizontal="right" vertical="center"/>
    </xf>
    <xf numFmtId="181" fontId="2" fillId="2" borderId="12" xfId="7" applyNumberFormat="1" applyFont="1" applyFill="1" applyBorder="1" applyAlignment="1">
      <alignment horizontal="right" vertical="center"/>
    </xf>
    <xf numFmtId="181" fontId="2" fillId="2" borderId="39" xfId="7" applyNumberFormat="1" applyFont="1" applyFill="1" applyBorder="1" applyAlignment="1">
      <alignment horizontal="right" vertical="center"/>
    </xf>
    <xf numFmtId="181" fontId="5" fillId="5" borderId="10" xfId="7" applyNumberFormat="1" applyFont="1" applyFill="1" applyBorder="1" applyAlignment="1">
      <alignment horizontal="right" vertical="center"/>
    </xf>
    <xf numFmtId="181" fontId="5" fillId="5" borderId="43" xfId="8" applyNumberFormat="1" applyFont="1" applyFill="1" applyBorder="1" applyAlignment="1">
      <alignment horizontal="right" vertical="center" wrapText="1"/>
    </xf>
    <xf numFmtId="181" fontId="4" fillId="5" borderId="16" xfId="7" applyNumberFormat="1" applyFont="1" applyFill="1" applyBorder="1" applyAlignment="1">
      <alignment horizontal="right" vertical="center"/>
    </xf>
    <xf numFmtId="181" fontId="4" fillId="2" borderId="52" xfId="7" applyNumberFormat="1" applyFont="1" applyFill="1" applyBorder="1" applyAlignment="1">
      <alignment vertical="center"/>
    </xf>
    <xf numFmtId="181" fontId="2" fillId="2" borderId="121" xfId="7" applyNumberFormat="1" applyFont="1" applyFill="1" applyBorder="1" applyAlignment="1">
      <alignment vertical="top" wrapText="1"/>
    </xf>
    <xf numFmtId="181" fontId="32" fillId="13" borderId="12" xfId="7" applyNumberFormat="1" applyFont="1" applyFill="1" applyBorder="1" applyAlignment="1">
      <alignment horizontal="right" vertical="center"/>
    </xf>
    <xf numFmtId="181" fontId="2" fillId="2" borderId="81" xfId="7" applyNumberFormat="1" applyFont="1" applyFill="1" applyBorder="1" applyAlignment="1">
      <alignment vertical="center"/>
    </xf>
    <xf numFmtId="181" fontId="2" fillId="2" borderId="22" xfId="7" applyNumberFormat="1" applyFont="1" applyFill="1" applyBorder="1" applyAlignment="1">
      <alignment horizontal="right" vertical="center"/>
    </xf>
    <xf numFmtId="181" fontId="2" fillId="2" borderId="18" xfId="7" applyNumberFormat="1" applyFont="1" applyFill="1" applyBorder="1" applyAlignment="1">
      <alignment horizontal="center" vertical="center"/>
    </xf>
    <xf numFmtId="181" fontId="2" fillId="2" borderId="48" xfId="7" applyNumberFormat="1" applyFont="1" applyFill="1" applyBorder="1" applyAlignment="1">
      <alignment vertical="top" wrapText="1"/>
    </xf>
    <xf numFmtId="181" fontId="2" fillId="2" borderId="136" xfId="7" applyNumberFormat="1" applyFont="1" applyFill="1" applyBorder="1" applyAlignment="1">
      <alignment vertical="center"/>
    </xf>
    <xf numFmtId="181" fontId="4" fillId="2" borderId="63" xfId="7" applyNumberFormat="1" applyFont="1" applyFill="1" applyBorder="1" applyAlignment="1">
      <alignment vertical="top" wrapText="1"/>
    </xf>
    <xf numFmtId="181" fontId="5" fillId="2" borderId="10" xfId="7" applyNumberFormat="1" applyFont="1" applyFill="1" applyBorder="1" applyAlignment="1">
      <alignment vertical="center"/>
    </xf>
    <xf numFmtId="181" fontId="2" fillId="2" borderId="1" xfId="7" applyNumberFormat="1" applyFont="1" applyFill="1" applyBorder="1" applyAlignment="1">
      <alignment vertical="top" wrapText="1"/>
    </xf>
    <xf numFmtId="181" fontId="2" fillId="2" borderId="78" xfId="7" applyNumberFormat="1" applyFont="1" applyFill="1" applyBorder="1" applyAlignment="1">
      <alignment vertical="center"/>
    </xf>
    <xf numFmtId="181" fontId="2" fillId="2" borderId="23" xfId="7" applyNumberFormat="1" applyFont="1" applyFill="1" applyBorder="1" applyAlignment="1">
      <alignment vertical="top" wrapText="1"/>
    </xf>
    <xf numFmtId="181" fontId="2" fillId="2" borderId="41" xfId="7" applyNumberFormat="1" applyFont="1" applyFill="1" applyBorder="1" applyAlignment="1">
      <alignment vertical="center"/>
    </xf>
    <xf numFmtId="181" fontId="5" fillId="2" borderId="73" xfId="7" applyNumberFormat="1" applyFont="1" applyFill="1" applyBorder="1" applyAlignment="1">
      <alignment vertical="center"/>
    </xf>
    <xf numFmtId="181" fontId="32" fillId="13" borderId="19" xfId="7" applyNumberFormat="1" applyFont="1" applyFill="1" applyBorder="1" applyAlignment="1">
      <alignment horizontal="right" vertical="center"/>
    </xf>
    <xf numFmtId="181" fontId="2" fillId="2" borderId="30" xfId="7" applyNumberFormat="1" applyFont="1" applyFill="1" applyBorder="1" applyAlignment="1">
      <alignment horizontal="right" vertical="center"/>
    </xf>
    <xf numFmtId="181" fontId="4" fillId="2" borderId="18" xfId="7" applyNumberFormat="1" applyFont="1" applyFill="1" applyBorder="1" applyAlignment="1">
      <alignment horizontal="center" vertical="center"/>
    </xf>
    <xf numFmtId="181" fontId="32" fillId="13" borderId="0" xfId="7" applyNumberFormat="1" applyFont="1" applyFill="1" applyBorder="1" applyAlignment="1">
      <alignment horizontal="right" vertical="center"/>
    </xf>
    <xf numFmtId="181" fontId="2" fillId="0" borderId="3" xfId="8" applyNumberFormat="1" applyBorder="1">
      <alignment vertical="center"/>
    </xf>
    <xf numFmtId="181" fontId="2" fillId="2" borderId="24" xfId="7" applyNumberFormat="1" applyFont="1" applyFill="1" applyBorder="1" applyAlignment="1">
      <alignment horizontal="right" vertical="center"/>
    </xf>
    <xf numFmtId="181" fontId="2" fillId="2" borderId="6" xfId="7" applyNumberFormat="1" applyFont="1" applyFill="1" applyBorder="1" applyAlignment="1">
      <alignment horizontal="left" vertical="center"/>
    </xf>
    <xf numFmtId="181" fontId="4" fillId="2" borderId="61" xfId="7" applyNumberFormat="1" applyFont="1" applyFill="1" applyBorder="1" applyAlignment="1">
      <alignment horizontal="left" vertical="top" wrapText="1"/>
    </xf>
    <xf numFmtId="181" fontId="5" fillId="2" borderId="88" xfId="7" applyNumberFormat="1" applyFont="1" applyFill="1" applyBorder="1" applyAlignment="1">
      <alignment horizontal="right" vertical="center"/>
    </xf>
    <xf numFmtId="181" fontId="5" fillId="2" borderId="4" xfId="7" applyNumberFormat="1" applyFont="1" applyFill="1" applyBorder="1" applyAlignment="1">
      <alignment horizontal="right" vertical="center"/>
    </xf>
    <xf numFmtId="181" fontId="5" fillId="2" borderId="41" xfId="7" applyNumberFormat="1" applyFont="1" applyFill="1" applyBorder="1" applyAlignment="1">
      <alignment vertical="center"/>
    </xf>
    <xf numFmtId="181" fontId="4" fillId="2" borderId="26" xfId="7" applyNumberFormat="1" applyFont="1" applyFill="1" applyBorder="1" applyAlignment="1">
      <alignment vertical="center"/>
    </xf>
    <xf numFmtId="181" fontId="5" fillId="2" borderId="73" xfId="7" applyNumberFormat="1" applyFont="1" applyFill="1" applyBorder="1" applyAlignment="1">
      <alignment horizontal="right" vertical="center"/>
    </xf>
    <xf numFmtId="181" fontId="32" fillId="13" borderId="58" xfId="7" applyNumberFormat="1" applyFont="1" applyFill="1" applyBorder="1" applyAlignment="1">
      <alignment horizontal="right" vertical="center"/>
    </xf>
    <xf numFmtId="181" fontId="2" fillId="2" borderId="98" xfId="7" applyNumberFormat="1" applyFont="1" applyFill="1" applyBorder="1" applyAlignment="1">
      <alignment horizontal="right" vertical="center"/>
    </xf>
    <xf numFmtId="181" fontId="2" fillId="2" borderId="81" xfId="7" applyNumberFormat="1" applyFont="1" applyFill="1" applyBorder="1" applyAlignment="1">
      <alignment horizontal="right" vertical="center"/>
    </xf>
    <xf numFmtId="181" fontId="2" fillId="2" borderId="49" xfId="7" applyNumberFormat="1" applyFont="1" applyFill="1" applyBorder="1" applyAlignment="1">
      <alignment horizontal="right" vertical="center"/>
    </xf>
    <xf numFmtId="181" fontId="5" fillId="2" borderId="62" xfId="7" applyNumberFormat="1" applyFont="1" applyFill="1" applyBorder="1" applyAlignment="1">
      <alignment horizontal="right" vertical="center"/>
    </xf>
    <xf numFmtId="181" fontId="2" fillId="2" borderId="1" xfId="7" applyNumberFormat="1" applyFont="1" applyFill="1" applyBorder="1" applyAlignment="1">
      <alignment horizontal="left" vertical="top"/>
    </xf>
    <xf numFmtId="181" fontId="32" fillId="13" borderId="1" xfId="7" applyNumberFormat="1" applyFont="1" applyFill="1" applyBorder="1" applyAlignment="1">
      <alignment horizontal="right" vertical="center"/>
    </xf>
    <xf numFmtId="181" fontId="2" fillId="2" borderId="9" xfId="7" applyNumberFormat="1" applyFont="1" applyFill="1" applyBorder="1" applyAlignment="1">
      <alignment horizontal="left" vertical="top"/>
    </xf>
    <xf numFmtId="181" fontId="2" fillId="2" borderId="3" xfId="7" applyNumberFormat="1" applyFont="1" applyFill="1" applyBorder="1" applyAlignment="1">
      <alignment horizontal="left" vertical="top"/>
    </xf>
    <xf numFmtId="181" fontId="4" fillId="2" borderId="8" xfId="7" applyNumberFormat="1" applyFont="1" applyFill="1" applyBorder="1" applyAlignment="1">
      <alignment horizontal="left" vertical="top"/>
    </xf>
    <xf numFmtId="181" fontId="32" fillId="13" borderId="3" xfId="8" applyNumberFormat="1" applyFont="1" applyFill="1" applyBorder="1" applyAlignment="1">
      <alignment horizontal="right" vertical="center"/>
    </xf>
    <xf numFmtId="181" fontId="0" fillId="2" borderId="3" xfId="8" applyNumberFormat="1" applyFont="1" applyFill="1" applyBorder="1" applyAlignment="1">
      <alignment horizontal="right" vertical="center"/>
    </xf>
    <xf numFmtId="181" fontId="2" fillId="2" borderId="3" xfId="8" applyNumberFormat="1" applyFont="1" applyFill="1" applyBorder="1" applyAlignment="1">
      <alignment horizontal="right" vertical="center"/>
    </xf>
    <xf numFmtId="181" fontId="4" fillId="2" borderId="3" xfId="7" applyNumberFormat="1" applyFont="1" applyFill="1" applyBorder="1" applyAlignment="1">
      <alignment horizontal="left" vertical="top" wrapText="1"/>
    </xf>
    <xf numFmtId="181" fontId="5" fillId="2" borderId="3" xfId="7" applyNumberFormat="1" applyFont="1" applyFill="1" applyBorder="1" applyAlignment="1">
      <alignment horizontal="right" vertical="center"/>
    </xf>
    <xf numFmtId="181" fontId="5" fillId="2" borderId="129" xfId="7" applyNumberFormat="1" applyFont="1" applyFill="1" applyBorder="1" applyAlignment="1">
      <alignment vertical="center"/>
    </xf>
    <xf numFmtId="181" fontId="2" fillId="2" borderId="49" xfId="7" applyNumberFormat="1" applyFont="1" applyFill="1" applyBorder="1" applyAlignment="1">
      <alignment horizontal="left" vertical="top" wrapText="1"/>
    </xf>
    <xf numFmtId="181" fontId="4" fillId="2" borderId="62" xfId="7" applyNumberFormat="1" applyFont="1" applyFill="1" applyBorder="1" applyAlignment="1">
      <alignment horizontal="right" vertical="center"/>
    </xf>
    <xf numFmtId="181" fontId="4" fillId="2" borderId="51" xfId="7" applyNumberFormat="1" applyFont="1" applyFill="1" applyBorder="1" applyAlignment="1">
      <alignment horizontal="right" vertical="center"/>
    </xf>
    <xf numFmtId="181" fontId="4" fillId="2" borderId="74" xfId="7" applyNumberFormat="1" applyFont="1" applyFill="1" applyBorder="1" applyAlignment="1">
      <alignment vertical="center"/>
    </xf>
    <xf numFmtId="181" fontId="5" fillId="2" borderId="51" xfId="7" applyNumberFormat="1" applyFont="1" applyFill="1" applyBorder="1" applyAlignment="1">
      <alignment horizontal="right" vertical="center"/>
    </xf>
    <xf numFmtId="181" fontId="5" fillId="2" borderId="74" xfId="7" applyNumberFormat="1" applyFont="1" applyFill="1" applyBorder="1" applyAlignment="1">
      <alignment vertical="center"/>
    </xf>
    <xf numFmtId="181" fontId="39" fillId="15" borderId="181" xfId="2" applyNumberFormat="1" applyFont="1" applyFill="1" applyBorder="1" applyAlignment="1">
      <alignment horizontal="right" vertical="center"/>
    </xf>
    <xf numFmtId="181" fontId="2" fillId="2" borderId="138" xfId="7" applyNumberFormat="1" applyFont="1" applyFill="1" applyBorder="1" applyAlignment="1">
      <alignment horizontal="right" vertical="center"/>
    </xf>
    <xf numFmtId="181" fontId="2" fillId="2" borderId="9" xfId="7" applyNumberFormat="1" applyFont="1" applyFill="1" applyBorder="1" applyAlignment="1">
      <alignment vertical="center"/>
    </xf>
    <xf numFmtId="181" fontId="2" fillId="2" borderId="119" xfId="7" applyNumberFormat="1" applyFont="1" applyFill="1" applyBorder="1" applyAlignment="1">
      <alignment horizontal="left" vertical="center"/>
    </xf>
    <xf numFmtId="181" fontId="2" fillId="2" borderId="69" xfId="7" applyNumberFormat="1" applyFont="1" applyFill="1" applyBorder="1" applyAlignment="1">
      <alignment horizontal="right" vertical="center"/>
    </xf>
    <xf numFmtId="181" fontId="32" fillId="13" borderId="21" xfId="7" applyNumberFormat="1" applyFont="1" applyFill="1" applyBorder="1" applyAlignment="1">
      <alignment horizontal="right" vertical="center"/>
    </xf>
    <xf numFmtId="181" fontId="2" fillId="2" borderId="21" xfId="7" applyNumberFormat="1" applyFont="1" applyFill="1" applyBorder="1" applyAlignment="1">
      <alignment horizontal="right" vertical="center"/>
    </xf>
    <xf numFmtId="181" fontId="2" fillId="2" borderId="133" xfId="7" applyNumberFormat="1" applyFont="1" applyFill="1" applyBorder="1" applyAlignment="1">
      <alignment horizontal="right" vertical="center"/>
    </xf>
    <xf numFmtId="181" fontId="2" fillId="2" borderId="134" xfId="7" applyNumberFormat="1" applyFont="1" applyFill="1" applyBorder="1" applyAlignment="1">
      <alignment horizontal="right" vertical="center"/>
    </xf>
    <xf numFmtId="181" fontId="2" fillId="2" borderId="41" xfId="7" applyNumberFormat="1" applyFont="1" applyFill="1" applyBorder="1" applyAlignment="1">
      <alignment horizontal="right" vertical="center"/>
    </xf>
    <xf numFmtId="181" fontId="4" fillId="7" borderId="18" xfId="7" applyNumberFormat="1" applyFont="1" applyFill="1" applyBorder="1" applyAlignment="1">
      <alignment vertical="top" wrapText="1"/>
    </xf>
    <xf numFmtId="181" fontId="2" fillId="7" borderId="49" xfId="7" applyNumberFormat="1" applyFont="1" applyFill="1" applyBorder="1" applyAlignment="1">
      <alignment vertical="top" wrapText="1"/>
    </xf>
    <xf numFmtId="181" fontId="2" fillId="7" borderId="70" xfId="7" applyNumberFormat="1" applyFont="1" applyFill="1" applyBorder="1" applyAlignment="1">
      <alignment vertical="top" wrapText="1"/>
    </xf>
    <xf numFmtId="181" fontId="6" fillId="2" borderId="70" xfId="7" applyNumberFormat="1" applyFont="1" applyFill="1" applyBorder="1" applyAlignment="1">
      <alignment horizontal="right" vertical="center"/>
    </xf>
    <xf numFmtId="181" fontId="6" fillId="2" borderId="9" xfId="7" applyNumberFormat="1" applyFont="1" applyFill="1" applyBorder="1" applyAlignment="1">
      <alignment horizontal="right" vertical="center"/>
    </xf>
    <xf numFmtId="181" fontId="6" fillId="2" borderId="72" xfId="7" applyNumberFormat="1" applyFont="1" applyFill="1" applyBorder="1" applyAlignment="1">
      <alignment horizontal="right" vertical="center"/>
    </xf>
    <xf numFmtId="181" fontId="6" fillId="2" borderId="42" xfId="7" applyNumberFormat="1" applyFont="1" applyFill="1" applyBorder="1" applyAlignment="1">
      <alignment horizontal="right" vertical="center"/>
    </xf>
    <xf numFmtId="181" fontId="6" fillId="2" borderId="137" xfId="7" applyNumberFormat="1" applyFont="1" applyFill="1" applyBorder="1" applyAlignment="1">
      <alignment vertical="center"/>
    </xf>
    <xf numFmtId="181" fontId="2" fillId="2" borderId="45" xfId="7" applyNumberFormat="1" applyFont="1" applyFill="1" applyBorder="1" applyAlignment="1">
      <alignment horizontal="right" vertical="center"/>
    </xf>
    <xf numFmtId="181" fontId="5" fillId="5" borderId="43" xfId="7" applyNumberFormat="1" applyFont="1" applyFill="1" applyBorder="1" applyAlignment="1">
      <alignment horizontal="right" vertical="center"/>
    </xf>
    <xf numFmtId="181" fontId="5" fillId="5" borderId="43" xfId="7" applyNumberFormat="1" applyFont="1" applyFill="1" applyBorder="1" applyAlignment="1">
      <alignment vertical="center"/>
    </xf>
    <xf numFmtId="181" fontId="2" fillId="0" borderId="0" xfId="7" applyNumberFormat="1">
      <alignment vertical="center"/>
    </xf>
    <xf numFmtId="181" fontId="4" fillId="2" borderId="1" xfId="8" applyNumberFormat="1" applyFont="1" applyFill="1" applyBorder="1" applyAlignment="1">
      <alignment horizontal="center" vertical="center" wrapText="1"/>
    </xf>
    <xf numFmtId="181" fontId="0" fillId="2" borderId="1" xfId="8" applyNumberFormat="1" applyFont="1" applyFill="1" applyBorder="1" applyAlignment="1">
      <alignment horizontal="center" vertical="center" wrapText="1"/>
    </xf>
    <xf numFmtId="181" fontId="5" fillId="2" borderId="2" xfId="8" applyNumberFormat="1" applyFont="1" applyFill="1" applyBorder="1" applyAlignment="1">
      <alignment horizontal="center" vertical="center" wrapText="1"/>
    </xf>
    <xf numFmtId="181" fontId="0" fillId="2" borderId="9" xfId="8" applyNumberFormat="1" applyFont="1" applyFill="1" applyBorder="1" applyAlignment="1">
      <alignment horizontal="center" vertical="center" wrapText="1"/>
    </xf>
    <xf numFmtId="181" fontId="0" fillId="2" borderId="3" xfId="8" applyNumberFormat="1" applyFont="1" applyFill="1" applyBorder="1" applyAlignment="1">
      <alignment horizontal="right" vertical="center" wrapText="1"/>
    </xf>
    <xf numFmtId="181" fontId="38" fillId="13" borderId="3" xfId="8" applyNumberFormat="1" applyFont="1" applyFill="1" applyBorder="1" applyAlignment="1">
      <alignment horizontal="center" vertical="center" wrapText="1"/>
    </xf>
    <xf numFmtId="181" fontId="4" fillId="2" borderId="3" xfId="8" applyNumberFormat="1" applyFont="1" applyFill="1" applyBorder="1" applyAlignment="1">
      <alignment horizontal="center" vertical="center" wrapText="1"/>
    </xf>
    <xf numFmtId="181" fontId="6" fillId="2" borderId="8" xfId="8" applyNumberFormat="1" applyFont="1" applyFill="1" applyBorder="1" applyAlignment="1">
      <alignment horizontal="center" vertical="center" wrapText="1"/>
    </xf>
    <xf numFmtId="181" fontId="6" fillId="2" borderId="1" xfId="8" applyNumberFormat="1" applyFont="1" applyFill="1" applyBorder="1" applyAlignment="1">
      <alignment horizontal="center" vertical="center" wrapText="1"/>
    </xf>
    <xf numFmtId="181" fontId="6" fillId="2" borderId="131" xfId="8" applyNumberFormat="1" applyFont="1" applyFill="1" applyBorder="1" applyAlignment="1">
      <alignment horizontal="center" vertical="center" wrapText="1"/>
    </xf>
    <xf numFmtId="181" fontId="6" fillId="2" borderId="3" xfId="8" applyNumberFormat="1" applyFont="1" applyFill="1" applyBorder="1" applyAlignment="1">
      <alignment horizontal="center" vertical="center" wrapText="1"/>
    </xf>
    <xf numFmtId="181" fontId="0" fillId="2" borderId="15" xfId="8" applyNumberFormat="1" applyFont="1" applyFill="1" applyBorder="1" applyAlignment="1">
      <alignment horizontal="center" vertical="center" wrapText="1"/>
    </xf>
    <xf numFmtId="181" fontId="2" fillId="0" borderId="18" xfId="7" applyNumberFormat="1" applyBorder="1">
      <alignment vertical="center"/>
    </xf>
    <xf numFmtId="181" fontId="6" fillId="2" borderId="39" xfId="8" applyNumberFormat="1" applyFont="1" applyFill="1" applyBorder="1" applyAlignment="1">
      <alignment horizontal="center" vertical="center" wrapText="1"/>
    </xf>
    <xf numFmtId="181" fontId="6" fillId="2" borderId="6" xfId="8" applyNumberFormat="1" applyFont="1" applyFill="1" applyBorder="1" applyAlignment="1">
      <alignment horizontal="center" vertical="center" wrapText="1"/>
    </xf>
    <xf numFmtId="181" fontId="4" fillId="2" borderId="8" xfId="7" applyNumberFormat="1" applyFont="1" applyFill="1" applyBorder="1" applyAlignment="1">
      <alignment horizontal="right" vertical="center"/>
    </xf>
    <xf numFmtId="181" fontId="4" fillId="2" borderId="125" xfId="7" applyNumberFormat="1" applyFont="1" applyFill="1" applyBorder="1" applyAlignment="1">
      <alignment horizontal="right" vertical="center"/>
    </xf>
    <xf numFmtId="181" fontId="4" fillId="2" borderId="25" xfId="7" applyNumberFormat="1" applyFont="1" applyFill="1" applyBorder="1" applyAlignment="1">
      <alignment horizontal="right" vertical="center"/>
    </xf>
    <xf numFmtId="181" fontId="4" fillId="2" borderId="20" xfId="7" applyNumberFormat="1" applyFont="1" applyFill="1" applyBorder="1" applyAlignment="1">
      <alignment horizontal="right" vertical="center"/>
    </xf>
    <xf numFmtId="181" fontId="4" fillId="2" borderId="74" xfId="7" applyNumberFormat="1" applyFont="1" applyFill="1" applyBorder="1" applyAlignment="1">
      <alignment horizontal="right" vertical="center"/>
    </xf>
    <xf numFmtId="181" fontId="4" fillId="2" borderId="8" xfId="7" applyNumberFormat="1" applyFont="1" applyFill="1" applyBorder="1" applyAlignment="1">
      <alignment horizontal="center" vertical="top" wrapText="1"/>
    </xf>
    <xf numFmtId="181" fontId="4" fillId="2" borderId="123" xfId="7" applyNumberFormat="1" applyFont="1" applyFill="1" applyBorder="1" applyAlignment="1">
      <alignment horizontal="right" vertical="center"/>
    </xf>
    <xf numFmtId="181" fontId="4" fillId="2" borderId="8" xfId="8" applyNumberFormat="1" applyFont="1" applyFill="1" applyBorder="1" applyAlignment="1">
      <alignment horizontal="right" vertical="center" wrapText="1"/>
    </xf>
    <xf numFmtId="181" fontId="4" fillId="2" borderId="132" xfId="8" applyNumberFormat="1" applyFont="1" applyFill="1" applyBorder="1" applyAlignment="1">
      <alignment horizontal="right" vertical="center" wrapText="1"/>
    </xf>
    <xf numFmtId="181" fontId="4" fillId="2" borderId="22" xfId="7" applyNumberFormat="1" applyFont="1" applyFill="1" applyBorder="1" applyAlignment="1">
      <alignment horizontal="right" vertical="center"/>
    </xf>
    <xf numFmtId="181" fontId="32" fillId="13" borderId="42" xfId="7" applyNumberFormat="1" applyFont="1" applyFill="1" applyBorder="1" applyAlignment="1">
      <alignment horizontal="right" vertical="center"/>
    </xf>
    <xf numFmtId="181" fontId="4" fillId="5" borderId="43" xfId="7" applyNumberFormat="1" applyFont="1" applyFill="1" applyBorder="1" applyAlignment="1">
      <alignment horizontal="right" vertical="center"/>
    </xf>
    <xf numFmtId="181" fontId="4" fillId="5" borderId="13" xfId="8" applyNumberFormat="1" applyFont="1" applyFill="1" applyBorder="1" applyAlignment="1">
      <alignment horizontal="right" vertical="center" wrapText="1"/>
    </xf>
    <xf numFmtId="181" fontId="2" fillId="2" borderId="78" xfId="7" applyNumberFormat="1" applyFont="1" applyFill="1" applyBorder="1" applyAlignment="1">
      <alignment horizontal="right" vertical="center"/>
    </xf>
    <xf numFmtId="181" fontId="32" fillId="13" borderId="184" xfId="7" applyNumberFormat="1" applyFont="1" applyFill="1" applyBorder="1" applyAlignment="1">
      <alignment horizontal="right" vertical="center"/>
    </xf>
    <xf numFmtId="181" fontId="2" fillId="2" borderId="122" xfId="7" applyNumberFormat="1" applyFont="1" applyFill="1" applyBorder="1" applyAlignment="1">
      <alignment horizontal="right" vertical="center"/>
    </xf>
    <xf numFmtId="181" fontId="32" fillId="13" borderId="23" xfId="7" applyNumberFormat="1" applyFont="1" applyFill="1" applyBorder="1" applyAlignment="1">
      <alignment horizontal="right" vertical="center"/>
    </xf>
    <xf numFmtId="181" fontId="4" fillId="2" borderId="60" xfId="7" applyNumberFormat="1" applyFont="1" applyFill="1" applyBorder="1" applyAlignment="1">
      <alignment horizontal="left" vertical="top" wrapText="1"/>
    </xf>
    <xf numFmtId="181" fontId="5" fillId="2" borderId="118" xfId="7" applyNumberFormat="1" applyFont="1" applyFill="1" applyBorder="1" applyAlignment="1">
      <alignment horizontal="right" vertical="center"/>
    </xf>
    <xf numFmtId="181" fontId="32" fillId="13" borderId="126" xfId="7" applyNumberFormat="1" applyFont="1" applyFill="1" applyBorder="1" applyAlignment="1">
      <alignment horizontal="right" vertical="center"/>
    </xf>
    <xf numFmtId="181" fontId="2" fillId="2" borderId="126" xfId="7" applyNumberFormat="1" applyFont="1" applyFill="1" applyBorder="1" applyAlignment="1">
      <alignment horizontal="right" vertical="center"/>
    </xf>
    <xf numFmtId="181" fontId="10" fillId="15" borderId="185" xfId="7" applyNumberFormat="1" applyFont="1" applyFill="1" applyBorder="1" applyAlignment="1" applyProtection="1">
      <alignment vertical="center" wrapText="1"/>
    </xf>
    <xf numFmtId="181" fontId="10" fillId="2" borderId="1" xfId="7" applyNumberFormat="1" applyFont="1" applyFill="1" applyBorder="1" applyAlignment="1" applyProtection="1">
      <alignment vertical="center" wrapText="1"/>
    </xf>
    <xf numFmtId="181" fontId="10" fillId="15" borderId="181" xfId="7" applyNumberFormat="1" applyFont="1" applyFill="1" applyBorder="1" applyAlignment="1" applyProtection="1">
      <alignment vertical="center" wrapText="1"/>
    </xf>
    <xf numFmtId="181" fontId="10" fillId="2" borderId="3" xfId="7" applyNumberFormat="1" applyFont="1" applyFill="1" applyBorder="1" applyAlignment="1" applyProtection="1">
      <alignment vertical="center" wrapText="1"/>
    </xf>
    <xf numFmtId="181" fontId="4" fillId="2" borderId="8" xfId="7" applyNumberFormat="1" applyFont="1" applyFill="1" applyBorder="1" applyAlignment="1">
      <alignment horizontal="left" vertical="top" wrapText="1"/>
    </xf>
    <xf numFmtId="181" fontId="5" fillId="2" borderId="27" xfId="7" applyNumberFormat="1" applyFont="1" applyFill="1" applyBorder="1" applyAlignment="1">
      <alignment horizontal="right" vertical="center"/>
    </xf>
    <xf numFmtId="181" fontId="4" fillId="2" borderId="28" xfId="7" applyNumberFormat="1" applyFont="1" applyFill="1" applyBorder="1" applyAlignment="1">
      <alignment horizontal="right" vertical="center"/>
    </xf>
    <xf numFmtId="181" fontId="5" fillId="2" borderId="41" xfId="7" applyNumberFormat="1" applyFont="1" applyFill="1" applyBorder="1" applyAlignment="1">
      <alignment horizontal="right" vertical="center"/>
    </xf>
    <xf numFmtId="181" fontId="32" fillId="13" borderId="144" xfId="7" applyNumberFormat="1" applyFont="1" applyFill="1" applyBorder="1" applyAlignment="1">
      <alignment horizontal="right" vertical="center"/>
    </xf>
    <xf numFmtId="181" fontId="2" fillId="2" borderId="124" xfId="7" applyNumberFormat="1" applyFont="1" applyFill="1" applyBorder="1" applyAlignment="1">
      <alignment horizontal="right" vertical="center"/>
    </xf>
    <xf numFmtId="181" fontId="32" fillId="13" borderId="69" xfId="7" applyNumberFormat="1" applyFont="1" applyFill="1" applyBorder="1" applyAlignment="1">
      <alignment horizontal="right" vertical="center"/>
    </xf>
    <xf numFmtId="181" fontId="2" fillId="2" borderId="36" xfId="7" applyNumberFormat="1" applyFont="1" applyFill="1" applyBorder="1" applyAlignment="1">
      <alignment horizontal="right" vertical="center"/>
    </xf>
    <xf numFmtId="181" fontId="5" fillId="2" borderId="135" xfId="7" applyNumberFormat="1" applyFont="1" applyFill="1" applyBorder="1" applyAlignment="1">
      <alignment horizontal="right" vertical="center"/>
    </xf>
    <xf numFmtId="181" fontId="5" fillId="5" borderId="44" xfId="7" applyNumberFormat="1" applyFont="1" applyFill="1" applyBorder="1" applyAlignment="1">
      <alignment horizontal="right" vertical="center"/>
    </xf>
    <xf numFmtId="181" fontId="6" fillId="2" borderId="9" xfId="8" applyNumberFormat="1" applyFont="1" applyFill="1" applyBorder="1" applyAlignment="1">
      <alignment horizontal="right" vertical="center" wrapText="1"/>
    </xf>
    <xf numFmtId="181" fontId="33" fillId="13" borderId="9" xfId="8" applyNumberFormat="1" applyFont="1" applyFill="1" applyBorder="1" applyAlignment="1">
      <alignment horizontal="right" vertical="center"/>
    </xf>
    <xf numFmtId="181" fontId="2" fillId="2" borderId="9" xfId="8" applyNumberFormat="1" applyFont="1" applyFill="1" applyBorder="1" applyAlignment="1">
      <alignment horizontal="center" vertical="center" wrapText="1"/>
    </xf>
    <xf numFmtId="181" fontId="2" fillId="2" borderId="9" xfId="8" applyNumberFormat="1" applyFont="1" applyFill="1" applyBorder="1" applyAlignment="1">
      <alignment horizontal="right" vertical="center" wrapText="1"/>
    </xf>
    <xf numFmtId="181" fontId="34" fillId="13" borderId="6" xfId="8" applyNumberFormat="1" applyFont="1" applyFill="1" applyBorder="1" applyAlignment="1">
      <alignment horizontal="left" vertical="center" wrapText="1"/>
    </xf>
    <xf numFmtId="181" fontId="4" fillId="2" borderId="8" xfId="8" applyNumberFormat="1" applyFont="1" applyFill="1" applyBorder="1" applyAlignment="1">
      <alignment horizontal="center" vertical="center" wrapText="1"/>
    </xf>
    <xf numFmtId="181" fontId="5" fillId="2" borderId="42" xfId="7" applyNumberFormat="1" applyFont="1" applyFill="1" applyBorder="1" applyAlignment="1">
      <alignment horizontal="right" vertical="center"/>
    </xf>
    <xf numFmtId="181" fontId="36" fillId="13" borderId="6" xfId="7" applyNumberFormat="1" applyFont="1" applyFill="1" applyBorder="1" applyAlignment="1">
      <alignment horizontal="left" vertical="center"/>
    </xf>
    <xf numFmtId="181" fontId="36" fillId="13" borderId="2" xfId="7" applyNumberFormat="1" applyFont="1" applyFill="1" applyBorder="1" applyAlignment="1">
      <alignment horizontal="left" vertical="center"/>
    </xf>
    <xf numFmtId="181" fontId="36" fillId="13" borderId="5" xfId="7" applyNumberFormat="1" applyFont="1" applyFill="1" applyBorder="1" applyAlignment="1">
      <alignment horizontal="left" vertical="center"/>
    </xf>
    <xf numFmtId="181" fontId="7" fillId="2" borderId="25" xfId="7" applyNumberFormat="1" applyFont="1" applyFill="1" applyBorder="1" applyAlignment="1">
      <alignment horizontal="left" vertical="center"/>
    </xf>
    <xf numFmtId="181" fontId="5" fillId="2" borderId="132" xfId="8" applyNumberFormat="1" applyFont="1" applyFill="1" applyBorder="1" applyAlignment="1">
      <alignment horizontal="right" vertical="center" wrapText="1"/>
    </xf>
    <xf numFmtId="181" fontId="6" fillId="2" borderId="1" xfId="8" applyNumberFormat="1" applyFont="1" applyFill="1" applyBorder="1" applyAlignment="1">
      <alignment horizontal="right" vertical="center" wrapText="1"/>
    </xf>
    <xf numFmtId="181" fontId="36" fillId="13" borderId="22" xfId="7" applyNumberFormat="1" applyFont="1" applyFill="1" applyBorder="1" applyAlignment="1">
      <alignment horizontal="left" vertical="center"/>
    </xf>
    <xf numFmtId="181" fontId="36" fillId="13" borderId="24" xfId="7" applyNumberFormat="1" applyFont="1" applyFill="1" applyBorder="1" applyAlignment="1">
      <alignment horizontal="left" vertical="center"/>
    </xf>
    <xf numFmtId="181" fontId="37" fillId="15" borderId="181" xfId="7" applyNumberFormat="1" applyFont="1" applyFill="1" applyBorder="1" applyAlignment="1">
      <alignment vertical="center" shrinkToFit="1"/>
    </xf>
    <xf numFmtId="181" fontId="5" fillId="2" borderId="30" xfId="7" applyNumberFormat="1" applyFont="1" applyFill="1" applyBorder="1" applyAlignment="1">
      <alignment horizontal="right" vertical="center"/>
    </xf>
    <xf numFmtId="181" fontId="5" fillId="2" borderId="9" xfId="8" applyNumberFormat="1" applyFont="1" applyFill="1" applyBorder="1" applyAlignment="1">
      <alignment horizontal="right" vertical="center" wrapText="1"/>
    </xf>
    <xf numFmtId="181" fontId="2" fillId="2" borderId="22" xfId="7" applyNumberFormat="1" applyFont="1" applyFill="1" applyBorder="1" applyAlignment="1">
      <alignment horizontal="left" vertical="center"/>
    </xf>
    <xf numFmtId="181" fontId="2" fillId="2" borderId="5" xfId="7" applyNumberFormat="1" applyFont="1" applyFill="1" applyBorder="1" applyAlignment="1">
      <alignment horizontal="left" vertical="center"/>
    </xf>
    <xf numFmtId="181" fontId="36" fillId="13" borderId="133" xfId="7" applyNumberFormat="1" applyFont="1" applyFill="1" applyBorder="1" applyAlignment="1">
      <alignment horizontal="left" vertical="center"/>
    </xf>
    <xf numFmtId="181" fontId="36" fillId="13" borderId="134" xfId="7" applyNumberFormat="1" applyFont="1" applyFill="1" applyBorder="1" applyAlignment="1">
      <alignment horizontal="left" vertical="center"/>
    </xf>
    <xf numFmtId="181" fontId="2" fillId="2" borderId="182" xfId="7" applyNumberFormat="1" applyFont="1" applyFill="1" applyBorder="1" applyAlignment="1">
      <alignment horizontal="right" vertical="center"/>
    </xf>
    <xf numFmtId="181" fontId="36" fillId="13" borderId="183" xfId="7" applyNumberFormat="1" applyFont="1" applyFill="1" applyBorder="1" applyAlignment="1">
      <alignment horizontal="left" vertical="center"/>
    </xf>
    <xf numFmtId="181" fontId="5" fillId="2" borderId="43" xfId="7" applyNumberFormat="1" applyFont="1" applyFill="1" applyBorder="1" applyAlignment="1">
      <alignment horizontal="right" vertical="center"/>
    </xf>
    <xf numFmtId="181" fontId="5" fillId="2" borderId="68" xfId="7" applyNumberFormat="1" applyFont="1" applyFill="1" applyBorder="1" applyAlignment="1">
      <alignment horizontal="right" vertical="center"/>
    </xf>
    <xf numFmtId="181" fontId="33" fillId="13" borderId="98" xfId="8" applyNumberFormat="1" applyFont="1" applyFill="1" applyBorder="1" applyAlignment="1">
      <alignment horizontal="right" vertical="center"/>
    </xf>
    <xf numFmtId="181" fontId="4" fillId="2" borderId="135" xfId="7" applyNumberFormat="1" applyFont="1" applyFill="1" applyBorder="1" applyAlignment="1">
      <alignment horizontal="right" vertical="center"/>
    </xf>
    <xf numFmtId="181" fontId="0" fillId="0" borderId="0" xfId="0" applyNumberFormat="1" applyFont="1">
      <alignment vertical="center"/>
    </xf>
    <xf numFmtId="181" fontId="0" fillId="0" borderId="0" xfId="0" applyNumberFormat="1">
      <alignment vertical="center"/>
    </xf>
    <xf numFmtId="181" fontId="0" fillId="2" borderId="9" xfId="6" applyNumberFormat="1" applyFont="1" applyFill="1" applyBorder="1">
      <alignment vertical="center"/>
    </xf>
    <xf numFmtId="181" fontId="0" fillId="2" borderId="8" xfId="6" applyNumberFormat="1" applyFont="1" applyFill="1" applyBorder="1">
      <alignment vertical="center"/>
    </xf>
    <xf numFmtId="181" fontId="0" fillId="2" borderId="0" xfId="0" applyNumberFormat="1" applyFont="1" applyFill="1">
      <alignment vertical="center"/>
    </xf>
    <xf numFmtId="181" fontId="4" fillId="2" borderId="42" xfId="5" applyNumberFormat="1" applyFont="1" applyFill="1" applyBorder="1">
      <alignment vertical="center"/>
    </xf>
    <xf numFmtId="181" fontId="0" fillId="2" borderId="53" xfId="5" applyNumberFormat="1" applyFont="1" applyFill="1" applyBorder="1">
      <alignment vertical="center"/>
    </xf>
    <xf numFmtId="181" fontId="0" fillId="2" borderId="54" xfId="5" applyNumberFormat="1" applyFont="1" applyFill="1" applyBorder="1">
      <alignment vertical="center"/>
    </xf>
    <xf numFmtId="181" fontId="4" fillId="2" borderId="125" xfId="5" applyNumberFormat="1" applyFont="1" applyFill="1" applyBorder="1">
      <alignment vertical="center"/>
    </xf>
    <xf numFmtId="181" fontId="0" fillId="2" borderId="4" xfId="5" applyNumberFormat="1" applyFont="1" applyFill="1" applyBorder="1">
      <alignment vertical="center"/>
    </xf>
    <xf numFmtId="181" fontId="4" fillId="2" borderId="74" xfId="5" applyNumberFormat="1" applyFont="1" applyFill="1" applyBorder="1">
      <alignment vertical="center"/>
    </xf>
    <xf numFmtId="181" fontId="0" fillId="2" borderId="9" xfId="5" applyNumberFormat="1" applyFont="1" applyFill="1" applyBorder="1">
      <alignment vertical="center"/>
    </xf>
    <xf numFmtId="181" fontId="0" fillId="2" borderId="3" xfId="5" applyNumberFormat="1" applyFont="1" applyFill="1" applyBorder="1">
      <alignment vertical="center"/>
    </xf>
    <xf numFmtId="181" fontId="0" fillId="2" borderId="10" xfId="5" applyNumberFormat="1" applyFont="1" applyFill="1" applyBorder="1">
      <alignment vertical="center"/>
    </xf>
    <xf numFmtId="181" fontId="0" fillId="2" borderId="42" xfId="5" applyNumberFormat="1" applyFont="1" applyFill="1" applyBorder="1">
      <alignment vertical="center"/>
    </xf>
    <xf numFmtId="181" fontId="4" fillId="2" borderId="51" xfId="5" applyNumberFormat="1" applyFont="1" applyFill="1" applyBorder="1">
      <alignment vertical="center"/>
    </xf>
    <xf numFmtId="181" fontId="4" fillId="2" borderId="10" xfId="5" applyNumberFormat="1" applyFont="1" applyFill="1" applyBorder="1">
      <alignment vertical="center"/>
    </xf>
    <xf numFmtId="181" fontId="0" fillId="2" borderId="12" xfId="5" applyNumberFormat="1" applyFont="1" applyFill="1" applyBorder="1">
      <alignment vertical="center"/>
    </xf>
    <xf numFmtId="181" fontId="4" fillId="5" borderId="43" xfId="5" applyNumberFormat="1" applyFont="1" applyFill="1" applyBorder="1">
      <alignment vertical="center"/>
    </xf>
    <xf numFmtId="181" fontId="23" fillId="2" borderId="12" xfId="5" applyNumberFormat="1" applyFill="1" applyBorder="1" applyAlignment="1">
      <alignment horizontal="center" vertical="center"/>
    </xf>
    <xf numFmtId="181" fontId="23" fillId="2" borderId="4" xfId="5" applyNumberFormat="1" applyFill="1" applyBorder="1" applyAlignment="1">
      <alignment horizontal="center" vertical="center"/>
    </xf>
    <xf numFmtId="181" fontId="4" fillId="2" borderId="10" xfId="5" applyNumberFormat="1" applyFont="1" applyFill="1" applyBorder="1" applyAlignment="1">
      <alignment horizontal="center" vertical="center"/>
    </xf>
    <xf numFmtId="181" fontId="23" fillId="2" borderId="42" xfId="5" applyNumberFormat="1" applyFill="1" applyBorder="1" applyAlignment="1">
      <alignment horizontal="center" vertical="center"/>
    </xf>
    <xf numFmtId="181" fontId="23" fillId="2" borderId="3" xfId="5" applyNumberFormat="1" applyFill="1" applyBorder="1" applyAlignment="1">
      <alignment horizontal="center" vertical="center"/>
    </xf>
    <xf numFmtId="181" fontId="23" fillId="2" borderId="81" xfId="5" applyNumberFormat="1" applyFill="1" applyBorder="1" applyAlignment="1">
      <alignment horizontal="center" vertical="center"/>
    </xf>
    <xf numFmtId="181" fontId="23" fillId="2" borderId="9" xfId="5" applyNumberFormat="1" applyFill="1" applyBorder="1" applyAlignment="1">
      <alignment horizontal="center" vertical="center"/>
    </xf>
    <xf numFmtId="181" fontId="4" fillId="2" borderId="3" xfId="5" applyNumberFormat="1" applyFont="1" applyFill="1" applyBorder="1" applyAlignment="1">
      <alignment horizontal="center" vertical="center"/>
    </xf>
    <xf numFmtId="181" fontId="4" fillId="2" borderId="51" xfId="5" applyNumberFormat="1" applyFont="1" applyFill="1" applyBorder="1" applyAlignment="1">
      <alignment horizontal="center" vertical="center"/>
    </xf>
    <xf numFmtId="181" fontId="23" fillId="2" borderId="50" xfId="5" applyNumberFormat="1" applyFill="1" applyBorder="1" applyAlignment="1">
      <alignment horizontal="center" vertical="center"/>
    </xf>
    <xf numFmtId="181" fontId="23" fillId="2" borderId="43" xfId="5" applyNumberFormat="1" applyFill="1" applyBorder="1" applyAlignment="1">
      <alignment horizontal="center" vertical="center"/>
    </xf>
    <xf numFmtId="181" fontId="4" fillId="4" borderId="43" xfId="5" applyNumberFormat="1" applyFont="1" applyFill="1" applyBorder="1" applyAlignment="1">
      <alignment horizontal="center" vertical="center"/>
    </xf>
    <xf numFmtId="181" fontId="0" fillId="2" borderId="81" xfId="3" applyNumberFormat="1" applyFont="1" applyFill="1" applyBorder="1" applyAlignment="1">
      <alignment horizontal="right" vertical="center" wrapText="1"/>
    </xf>
    <xf numFmtId="181" fontId="0" fillId="2" borderId="86" xfId="3" applyNumberFormat="1" applyFont="1" applyFill="1" applyBorder="1" applyAlignment="1">
      <alignment horizontal="right" vertical="center" wrapText="1"/>
    </xf>
    <xf numFmtId="181" fontId="4" fillId="2" borderId="10" xfId="2" applyNumberFormat="1" applyFont="1" applyFill="1" applyBorder="1" applyAlignment="1">
      <alignment horizontal="right" vertical="center" wrapText="1"/>
    </xf>
    <xf numFmtId="181" fontId="0" fillId="2" borderId="81" xfId="3" applyNumberFormat="1" applyFont="1" applyFill="1" applyBorder="1" applyAlignment="1">
      <alignment horizontal="right" vertical="top" wrapText="1"/>
    </xf>
    <xf numFmtId="181" fontId="4" fillId="2" borderId="10" xfId="3" applyNumberFormat="1" applyFont="1" applyFill="1" applyBorder="1" applyAlignment="1">
      <alignment horizontal="right" vertical="top" wrapText="1"/>
    </xf>
    <xf numFmtId="181" fontId="0" fillId="2" borderId="1" xfId="3" applyNumberFormat="1" applyFont="1" applyFill="1" applyBorder="1" applyAlignment="1">
      <alignment horizontal="right" vertical="top" wrapText="1"/>
    </xf>
    <xf numFmtId="181" fontId="0" fillId="2" borderId="3" xfId="3" applyNumberFormat="1" applyFont="1" applyFill="1" applyBorder="1" applyAlignment="1">
      <alignment horizontal="right" vertical="center" wrapText="1"/>
    </xf>
    <xf numFmtId="181" fontId="4" fillId="2" borderId="123" xfId="3" applyNumberFormat="1" applyFont="1" applyFill="1" applyBorder="1" applyAlignment="1">
      <alignment horizontal="right" vertical="center" wrapText="1"/>
    </xf>
    <xf numFmtId="181" fontId="4" fillId="2" borderId="42" xfId="3" applyNumberFormat="1" applyFont="1" applyFill="1" applyBorder="1" applyAlignment="1">
      <alignment horizontal="right" vertical="center" wrapText="1"/>
    </xf>
    <xf numFmtId="181" fontId="4" fillId="2" borderId="8" xfId="3" applyNumberFormat="1" applyFont="1" applyFill="1" applyBorder="1" applyAlignment="1">
      <alignment horizontal="right" vertical="center" wrapText="1"/>
    </xf>
    <xf numFmtId="181" fontId="24" fillId="12" borderId="170" xfId="0" applyNumberFormat="1" applyFont="1" applyFill="1" applyBorder="1" applyAlignment="1">
      <alignment horizontal="right" vertical="center" wrapText="1"/>
    </xf>
    <xf numFmtId="181" fontId="0" fillId="2" borderId="9" xfId="3" applyNumberFormat="1" applyFont="1" applyFill="1" applyBorder="1" applyAlignment="1">
      <alignment horizontal="right" vertical="top" wrapText="1"/>
    </xf>
    <xf numFmtId="181" fontId="0" fillId="2" borderId="3" xfId="3" applyNumberFormat="1" applyFont="1" applyFill="1" applyBorder="1" applyAlignment="1">
      <alignment horizontal="right" vertical="top" wrapText="1"/>
    </xf>
    <xf numFmtId="181" fontId="4" fillId="2" borderId="8" xfId="3" applyNumberFormat="1" applyFont="1" applyFill="1" applyBorder="1" applyAlignment="1">
      <alignment horizontal="right" vertical="top" wrapText="1"/>
    </xf>
    <xf numFmtId="181" fontId="0" fillId="2" borderId="9" xfId="3" applyNumberFormat="1" applyFont="1" applyFill="1" applyBorder="1" applyAlignment="1">
      <alignment horizontal="right" vertical="center" wrapText="1"/>
    </xf>
    <xf numFmtId="181" fontId="4" fillId="2" borderId="10" xfId="3" applyNumberFormat="1" applyFont="1" applyFill="1" applyBorder="1" applyAlignment="1">
      <alignment horizontal="right" vertical="center" wrapText="1"/>
    </xf>
    <xf numFmtId="181" fontId="4" fillId="4" borderId="43" xfId="2" applyNumberFormat="1" applyFont="1" applyFill="1" applyBorder="1" applyAlignment="1">
      <alignment horizontal="right" vertical="top" wrapText="1"/>
    </xf>
    <xf numFmtId="181" fontId="4" fillId="2" borderId="62" xfId="2" applyNumberFormat="1" applyFont="1" applyFill="1" applyBorder="1" applyAlignment="1">
      <alignment horizontal="right" vertical="top" wrapText="1"/>
    </xf>
    <xf numFmtId="181" fontId="4" fillId="2" borderId="15" xfId="2" applyNumberFormat="1" applyFont="1" applyFill="1" applyBorder="1" applyAlignment="1">
      <alignment horizontal="right" vertical="top" wrapText="1"/>
    </xf>
    <xf numFmtId="181" fontId="0" fillId="2" borderId="8" xfId="3" applyNumberFormat="1" applyFont="1" applyFill="1" applyBorder="1" applyAlignment="1">
      <alignment horizontal="right" vertical="center" wrapText="1"/>
    </xf>
    <xf numFmtId="181" fontId="4" fillId="2" borderId="76" xfId="2" applyNumberFormat="1" applyFont="1" applyFill="1" applyBorder="1" applyAlignment="1">
      <alignment horizontal="right" vertical="center"/>
    </xf>
    <xf numFmtId="181" fontId="0" fillId="2" borderId="1" xfId="3" applyNumberFormat="1" applyFont="1" applyFill="1" applyBorder="1" applyAlignment="1">
      <alignment horizontal="right" vertical="center" wrapText="1"/>
    </xf>
    <xf numFmtId="181" fontId="4" fillId="2" borderId="62" xfId="2" applyNumberFormat="1" applyFont="1" applyFill="1" applyBorder="1" applyAlignment="1">
      <alignment horizontal="right" vertical="center" wrapText="1"/>
    </xf>
    <xf numFmtId="181" fontId="4" fillId="2" borderId="8" xfId="2" applyNumberFormat="1" applyFont="1" applyFill="1" applyBorder="1" applyAlignment="1">
      <alignment horizontal="right" vertical="center" wrapText="1"/>
    </xf>
    <xf numFmtId="181" fontId="4" fillId="2" borderId="30" xfId="2" applyNumberFormat="1" applyFont="1" applyFill="1" applyBorder="1" applyAlignment="1">
      <alignment horizontal="right" vertical="center" wrapText="1"/>
    </xf>
    <xf numFmtId="181" fontId="4" fillId="4" borderId="40" xfId="2" applyNumberFormat="1" applyFont="1" applyFill="1" applyBorder="1" applyAlignment="1">
      <alignment vertical="center" wrapText="1"/>
    </xf>
    <xf numFmtId="181" fontId="0" fillId="2" borderId="103" xfId="0" applyNumberFormat="1" applyFont="1" applyFill="1" applyBorder="1">
      <alignment vertical="center"/>
    </xf>
    <xf numFmtId="181" fontId="0" fillId="2" borderId="105" xfId="0" applyNumberFormat="1" applyFont="1" applyFill="1" applyBorder="1">
      <alignment vertical="center"/>
    </xf>
    <xf numFmtId="181" fontId="0" fillId="2" borderId="101" xfId="0" applyNumberFormat="1" applyFont="1" applyFill="1" applyBorder="1">
      <alignment vertical="center"/>
    </xf>
    <xf numFmtId="181" fontId="0" fillId="0" borderId="103" xfId="0" applyNumberFormat="1" applyFont="1" applyBorder="1">
      <alignment vertical="center"/>
    </xf>
    <xf numFmtId="181" fontId="0" fillId="2" borderId="1" xfId="2" applyNumberFormat="1" applyFont="1" applyFill="1" applyBorder="1" applyAlignment="1">
      <alignment horizontal="right" vertical="center" wrapText="1"/>
    </xf>
    <xf numFmtId="181" fontId="24" fillId="12" borderId="173" xfId="2" applyNumberFormat="1" applyFont="1" applyFill="1" applyBorder="1" applyAlignment="1">
      <alignment horizontal="right" vertical="center" wrapText="1"/>
    </xf>
    <xf numFmtId="181" fontId="4" fillId="2" borderId="9" xfId="3" applyNumberFormat="1" applyFont="1" applyFill="1" applyBorder="1" applyAlignment="1">
      <alignment horizontal="right" vertical="center" wrapText="1"/>
    </xf>
    <xf numFmtId="181" fontId="0" fillId="2" borderId="3" xfId="2" applyNumberFormat="1" applyFont="1" applyFill="1" applyBorder="1" applyAlignment="1">
      <alignment horizontal="right" vertical="center" wrapText="1"/>
    </xf>
    <xf numFmtId="181" fontId="4" fillId="2" borderId="1" xfId="3" applyNumberFormat="1" applyFont="1" applyFill="1" applyBorder="1" applyAlignment="1">
      <alignment horizontal="right" vertical="center" wrapText="1"/>
    </xf>
    <xf numFmtId="181" fontId="4" fillId="2" borderId="27" xfId="3" applyNumberFormat="1" applyFont="1" applyFill="1" applyBorder="1" applyAlignment="1">
      <alignment horizontal="right" vertical="center" wrapText="1"/>
    </xf>
    <xf numFmtId="181" fontId="0" fillId="2" borderId="0" xfId="3" applyNumberFormat="1" applyFont="1" applyFill="1" applyBorder="1" applyAlignment="1">
      <alignment horizontal="right" vertical="center" wrapText="1"/>
    </xf>
    <xf numFmtId="181" fontId="0" fillId="2" borderId="110" xfId="3" applyNumberFormat="1" applyFont="1" applyFill="1" applyBorder="1" applyAlignment="1">
      <alignment horizontal="right" vertical="center" wrapText="1"/>
    </xf>
    <xf numFmtId="181" fontId="4" fillId="2" borderId="73" xfId="3" applyNumberFormat="1" applyFont="1" applyFill="1" applyBorder="1" applyAlignment="1">
      <alignment horizontal="right" vertical="center" wrapText="1"/>
    </xf>
    <xf numFmtId="181" fontId="4" fillId="4" borderId="43" xfId="3" applyNumberFormat="1" applyFont="1" applyFill="1" applyBorder="1" applyAlignment="1">
      <alignment horizontal="right" vertical="center" wrapText="1"/>
    </xf>
    <xf numFmtId="181" fontId="5" fillId="2" borderId="3" xfId="1" applyNumberFormat="1" applyFont="1" applyFill="1" applyBorder="1" applyAlignment="1">
      <alignment vertical="center" wrapText="1"/>
    </xf>
    <xf numFmtId="181" fontId="5" fillId="2" borderId="132" xfId="1" applyNumberFormat="1" applyFont="1" applyFill="1" applyBorder="1" applyAlignment="1">
      <alignment vertical="center" wrapText="1"/>
    </xf>
    <xf numFmtId="181" fontId="0" fillId="2" borderId="4" xfId="0" applyNumberFormat="1" applyFont="1" applyFill="1" applyBorder="1" applyAlignment="1">
      <alignment horizontal="right" vertical="center"/>
    </xf>
    <xf numFmtId="181" fontId="4" fillId="2" borderId="42" xfId="0" applyNumberFormat="1" applyFont="1" applyFill="1" applyBorder="1" applyAlignment="1">
      <alignment horizontal="right" vertical="center"/>
    </xf>
    <xf numFmtId="181" fontId="0" fillId="2" borderId="53" xfId="0" applyNumberFormat="1" applyFont="1" applyFill="1" applyBorder="1" applyAlignment="1">
      <alignment horizontal="right" vertical="center"/>
    </xf>
    <xf numFmtId="181" fontId="0" fillId="2" borderId="54" xfId="0" applyNumberFormat="1" applyFont="1" applyFill="1" applyBorder="1" applyAlignment="1">
      <alignment horizontal="right" vertical="center"/>
    </xf>
    <xf numFmtId="181" fontId="4" fillId="2" borderId="125" xfId="0" applyNumberFormat="1" applyFont="1" applyFill="1" applyBorder="1" applyAlignment="1">
      <alignment horizontal="right" vertical="center"/>
    </xf>
    <xf numFmtId="181" fontId="0" fillId="2" borderId="12" xfId="0" applyNumberFormat="1" applyFont="1" applyFill="1" applyBorder="1" applyAlignment="1">
      <alignment horizontal="right" vertical="center"/>
    </xf>
    <xf numFmtId="181" fontId="0" fillId="2" borderId="19" xfId="0" applyNumberFormat="1" applyFont="1" applyFill="1" applyBorder="1" applyAlignment="1">
      <alignment horizontal="right" vertical="center"/>
    </xf>
    <xf numFmtId="181" fontId="4" fillId="2" borderId="10" xfId="0" applyNumberFormat="1" applyFont="1" applyFill="1" applyBorder="1" applyAlignment="1">
      <alignment horizontal="right" vertical="center"/>
    </xf>
    <xf numFmtId="181" fontId="0" fillId="2" borderId="9" xfId="0" applyNumberFormat="1" applyFont="1" applyFill="1" applyBorder="1" applyAlignment="1">
      <alignment horizontal="right" vertical="center"/>
    </xf>
    <xf numFmtId="181" fontId="4" fillId="2" borderId="8" xfId="0" applyNumberFormat="1" applyFont="1" applyFill="1" applyBorder="1" applyAlignment="1">
      <alignment horizontal="right" vertical="center"/>
    </xf>
    <xf numFmtId="181" fontId="4" fillId="2" borderId="51" xfId="0" applyNumberFormat="1" applyFont="1" applyFill="1" applyBorder="1" applyAlignment="1">
      <alignment horizontal="right" vertical="center"/>
    </xf>
    <xf numFmtId="181" fontId="0" fillId="2" borderId="86" xfId="0" applyNumberFormat="1" applyFont="1" applyFill="1" applyBorder="1" applyAlignment="1">
      <alignment horizontal="right" vertical="center"/>
    </xf>
    <xf numFmtId="181" fontId="0" fillId="2" borderId="139" xfId="0" applyNumberFormat="1" applyFont="1" applyFill="1" applyBorder="1" applyAlignment="1">
      <alignment horizontal="right" vertical="center"/>
    </xf>
    <xf numFmtId="181" fontId="0" fillId="2" borderId="110" xfId="0" applyNumberFormat="1" applyFont="1" applyFill="1" applyBorder="1" applyAlignment="1">
      <alignment horizontal="right" vertical="center"/>
    </xf>
    <xf numFmtId="181" fontId="0" fillId="2" borderId="69" xfId="0" applyNumberFormat="1" applyFont="1" applyFill="1" applyBorder="1" applyAlignment="1">
      <alignment horizontal="right" vertical="center"/>
    </xf>
    <xf numFmtId="181" fontId="0" fillId="2" borderId="145" xfId="0" applyNumberFormat="1" applyFont="1" applyFill="1" applyBorder="1" applyAlignment="1">
      <alignment horizontal="right" vertical="center"/>
    </xf>
    <xf numFmtId="181" fontId="4" fillId="2" borderId="73" xfId="0" applyNumberFormat="1" applyFont="1" applyFill="1" applyBorder="1" applyAlignment="1">
      <alignment horizontal="right" vertical="center"/>
    </xf>
    <xf numFmtId="181" fontId="0" fillId="2" borderId="35" xfId="0" applyNumberFormat="1" applyFont="1" applyFill="1" applyBorder="1" applyAlignment="1">
      <alignment horizontal="right" vertical="center"/>
    </xf>
    <xf numFmtId="181" fontId="4" fillId="2" borderId="35" xfId="0" applyNumberFormat="1" applyFont="1" applyFill="1" applyBorder="1" applyAlignment="1">
      <alignment horizontal="right" vertical="center"/>
    </xf>
    <xf numFmtId="181" fontId="4" fillId="5" borderId="43" xfId="0" applyNumberFormat="1" applyFont="1" applyFill="1" applyBorder="1" applyAlignment="1">
      <alignment horizontal="right" vertical="center"/>
    </xf>
    <xf numFmtId="181" fontId="7" fillId="2" borderId="35" xfId="1" applyNumberFormat="1" applyFont="1" applyFill="1" applyBorder="1" applyAlignment="1">
      <alignment horizontal="right" vertical="center"/>
    </xf>
    <xf numFmtId="181" fontId="7" fillId="2" borderId="15" xfId="1" applyNumberFormat="1" applyFont="1" applyFill="1" applyBorder="1" applyAlignment="1">
      <alignment horizontal="right" vertical="center"/>
    </xf>
    <xf numFmtId="181" fontId="7" fillId="2" borderId="62" xfId="1" applyNumberFormat="1" applyFont="1" applyFill="1" applyBorder="1" applyAlignment="1">
      <alignment horizontal="right" vertical="center"/>
    </xf>
    <xf numFmtId="181" fontId="7" fillId="2" borderId="46" xfId="1" applyNumberFormat="1" applyFont="1" applyFill="1" applyBorder="1" applyAlignment="1">
      <alignment horizontal="right" vertical="center"/>
    </xf>
    <xf numFmtId="181" fontId="7" fillId="0" borderId="115" xfId="1" applyNumberFormat="1" applyFont="1" applyBorder="1" applyAlignment="1">
      <alignment horizontal="right" vertical="center"/>
    </xf>
    <xf numFmtId="181" fontId="5" fillId="5" borderId="64" xfId="0" applyNumberFormat="1" applyFont="1" applyFill="1" applyBorder="1" applyAlignment="1">
      <alignment vertical="center"/>
    </xf>
    <xf numFmtId="181" fontId="5" fillId="2" borderId="66" xfId="2" applyNumberFormat="1" applyFont="1" applyFill="1" applyBorder="1" applyAlignment="1">
      <alignment vertical="center"/>
    </xf>
    <xf numFmtId="181" fontId="4" fillId="2" borderId="49" xfId="2" applyNumberFormat="1" applyFont="1" applyFill="1" applyBorder="1" applyAlignment="1">
      <alignment horizontal="right" vertical="center" wrapText="1"/>
    </xf>
    <xf numFmtId="181" fontId="4" fillId="4" borderId="27" xfId="3" applyNumberFormat="1" applyFont="1" applyFill="1" applyBorder="1" applyAlignment="1">
      <alignment horizontal="right" vertical="center" wrapText="1"/>
    </xf>
    <xf numFmtId="181" fontId="0" fillId="2" borderId="21" xfId="0" applyNumberFormat="1" applyFont="1" applyFill="1" applyBorder="1" applyAlignment="1">
      <alignment horizontal="right" vertical="center"/>
    </xf>
    <xf numFmtId="181" fontId="0" fillId="2" borderId="189" xfId="0" applyNumberFormat="1" applyFont="1" applyFill="1" applyBorder="1" applyAlignment="1">
      <alignment horizontal="right" vertical="center"/>
    </xf>
    <xf numFmtId="181" fontId="0" fillId="2" borderId="190" xfId="0" applyNumberFormat="1" applyFont="1" applyFill="1" applyBorder="1" applyAlignment="1">
      <alignment horizontal="right" vertical="center"/>
    </xf>
    <xf numFmtId="181" fontId="4" fillId="2" borderId="20" xfId="0" applyNumberFormat="1" applyFont="1" applyFill="1" applyBorder="1" applyAlignment="1">
      <alignment horizontal="right" vertical="center"/>
    </xf>
    <xf numFmtId="181" fontId="0" fillId="2" borderId="122" xfId="0" applyNumberFormat="1" applyFont="1" applyFill="1" applyBorder="1" applyAlignment="1">
      <alignment horizontal="right" vertical="center"/>
    </xf>
    <xf numFmtId="181" fontId="0" fillId="2" borderId="3" xfId="0" applyNumberFormat="1" applyFont="1" applyFill="1" applyBorder="1" applyAlignment="1">
      <alignment horizontal="right" vertical="center"/>
    </xf>
    <xf numFmtId="181" fontId="4" fillId="11" borderId="10" xfId="0" applyNumberFormat="1" applyFont="1" applyFill="1" applyBorder="1" applyAlignment="1">
      <alignment horizontal="right" vertical="center"/>
    </xf>
    <xf numFmtId="181" fontId="0" fillId="2" borderId="81" xfId="0" applyNumberFormat="1" applyFont="1" applyFill="1" applyBorder="1" applyAlignment="1">
      <alignment horizontal="right" vertical="center"/>
    </xf>
    <xf numFmtId="181" fontId="0" fillId="2" borderId="58" xfId="0" applyNumberFormat="1" applyFont="1" applyFill="1" applyBorder="1" applyAlignment="1">
      <alignment horizontal="right" vertical="center"/>
    </xf>
    <xf numFmtId="181" fontId="0" fillId="2" borderId="1" xfId="0" applyNumberFormat="1" applyFont="1" applyFill="1" applyBorder="1" applyAlignment="1">
      <alignment horizontal="right" vertical="center"/>
    </xf>
    <xf numFmtId="181" fontId="4" fillId="11" borderId="122" xfId="0" applyNumberFormat="1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horizontal="right" vertical="center"/>
    </xf>
    <xf numFmtId="181" fontId="4" fillId="11" borderId="8" xfId="0" applyNumberFormat="1" applyFont="1" applyFill="1" applyBorder="1" applyAlignment="1">
      <alignment horizontal="right" vertical="center"/>
    </xf>
    <xf numFmtId="181" fontId="4" fillId="11" borderId="51" xfId="0" applyNumberFormat="1" applyFont="1" applyFill="1" applyBorder="1" applyAlignment="1">
      <alignment horizontal="right" vertical="center"/>
    </xf>
    <xf numFmtId="181" fontId="0" fillId="2" borderId="191" xfId="0" applyNumberFormat="1" applyFont="1" applyFill="1" applyBorder="1" applyAlignment="1">
      <alignment horizontal="right" vertical="center"/>
    </xf>
    <xf numFmtId="181" fontId="4" fillId="11" borderId="42" xfId="0" applyNumberFormat="1" applyFont="1" applyFill="1" applyBorder="1" applyAlignment="1">
      <alignment horizontal="right" vertical="center"/>
    </xf>
    <xf numFmtId="181" fontId="0" fillId="2" borderId="99" xfId="0" applyNumberFormat="1" applyFont="1" applyFill="1" applyBorder="1" applyAlignment="1">
      <alignment horizontal="right" vertical="center"/>
    </xf>
    <xf numFmtId="181" fontId="0" fillId="11" borderId="4" xfId="0" applyNumberFormat="1" applyFont="1" applyFill="1" applyBorder="1" applyAlignment="1">
      <alignment horizontal="right" vertical="center"/>
    </xf>
    <xf numFmtId="181" fontId="0" fillId="2" borderId="98" xfId="0" applyNumberFormat="1" applyFont="1" applyFill="1" applyBorder="1" applyAlignment="1">
      <alignment horizontal="right" vertical="center"/>
    </xf>
    <xf numFmtId="181" fontId="4" fillId="4" borderId="43" xfId="0" applyNumberFormat="1" applyFont="1" applyFill="1" applyBorder="1" applyAlignment="1">
      <alignment horizontal="right" vertical="center"/>
    </xf>
    <xf numFmtId="181" fontId="0" fillId="5" borderId="13" xfId="3" applyNumberFormat="1" applyFont="1" applyFill="1" applyBorder="1" applyAlignment="1">
      <alignment horizontal="right" vertical="center" wrapText="1"/>
    </xf>
    <xf numFmtId="0" fontId="5" fillId="9" borderId="114" xfId="0" applyNumberFormat="1" applyFont="1" applyFill="1" applyBorder="1" applyAlignment="1">
      <alignment horizontal="center" vertical="center"/>
    </xf>
    <xf numFmtId="0" fontId="5" fillId="9" borderId="6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0" fillId="0" borderId="115" xfId="0" applyNumberForma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/>
    </xf>
    <xf numFmtId="0" fontId="5" fillId="8" borderId="153" xfId="0" applyNumberFormat="1" applyFont="1" applyFill="1" applyBorder="1" applyAlignment="1">
      <alignment horizontal="center" vertical="center"/>
    </xf>
    <xf numFmtId="0" fontId="5" fillId="8" borderId="63" xfId="0" applyNumberFormat="1" applyFont="1" applyFill="1" applyBorder="1" applyAlignment="1">
      <alignment horizontal="center" vertical="center"/>
    </xf>
    <xf numFmtId="0" fontId="5" fillId="10" borderId="32" xfId="0" applyNumberFormat="1" applyFont="1" applyFill="1" applyBorder="1" applyAlignment="1">
      <alignment horizontal="center" vertical="center"/>
    </xf>
    <xf numFmtId="0" fontId="5" fillId="10" borderId="40" xfId="0" applyNumberFormat="1" applyFont="1" applyFill="1" applyBorder="1" applyAlignment="1">
      <alignment horizontal="center" vertical="center"/>
    </xf>
    <xf numFmtId="176" fontId="4" fillId="5" borderId="32" xfId="2" applyNumberFormat="1" applyFont="1" applyFill="1" applyBorder="1" applyAlignment="1">
      <alignment horizontal="center" vertical="center" wrapText="1"/>
    </xf>
    <xf numFmtId="176" fontId="4" fillId="5" borderId="95" xfId="2" applyNumberFormat="1" applyFont="1" applyFill="1" applyBorder="1" applyAlignment="1">
      <alignment horizontal="center" vertical="center" wrapText="1"/>
    </xf>
    <xf numFmtId="176" fontId="4" fillId="5" borderId="40" xfId="2" applyNumberFormat="1" applyFont="1" applyFill="1" applyBorder="1" applyAlignment="1">
      <alignment horizontal="center" vertical="center" wrapText="1"/>
    </xf>
    <xf numFmtId="0" fontId="5" fillId="5" borderId="154" xfId="0" applyNumberFormat="1" applyFont="1" applyFill="1" applyBorder="1" applyAlignment="1">
      <alignment horizontal="center" vertical="center"/>
    </xf>
    <xf numFmtId="0" fontId="5" fillId="5" borderId="155" xfId="0" applyNumberFormat="1" applyFont="1" applyFill="1" applyBorder="1" applyAlignment="1">
      <alignment horizontal="center" vertical="center"/>
    </xf>
    <xf numFmtId="0" fontId="5" fillId="2" borderId="154" xfId="0" applyNumberFormat="1" applyFont="1" applyFill="1" applyBorder="1" applyAlignment="1">
      <alignment horizontal="center" vertical="center" textRotation="255" shrinkToFit="1"/>
    </xf>
    <xf numFmtId="0" fontId="5" fillId="2" borderId="156" xfId="0" applyNumberFormat="1" applyFont="1" applyFill="1" applyBorder="1" applyAlignment="1">
      <alignment horizontal="center" vertical="center" textRotation="255" shrinkToFit="1"/>
    </xf>
    <xf numFmtId="0" fontId="5" fillId="2" borderId="155" xfId="0" applyNumberFormat="1" applyFont="1" applyFill="1" applyBorder="1" applyAlignment="1">
      <alignment horizontal="center" vertical="center" textRotation="255" shrinkToFit="1"/>
    </xf>
    <xf numFmtId="176" fontId="4" fillId="2" borderId="62" xfId="2" applyNumberFormat="1" applyFont="1" applyFill="1" applyBorder="1" applyAlignment="1">
      <alignment horizontal="center" vertical="top" wrapText="1"/>
    </xf>
    <xf numFmtId="176" fontId="4" fillId="2" borderId="63" xfId="2" applyNumberFormat="1" applyFont="1" applyFill="1" applyBorder="1" applyAlignment="1">
      <alignment horizontal="center" vertical="top" wrapText="1"/>
    </xf>
    <xf numFmtId="176" fontId="4" fillId="2" borderId="52" xfId="2" applyNumberFormat="1" applyFont="1" applyFill="1" applyBorder="1" applyAlignment="1">
      <alignment horizontal="left" vertical="top" wrapText="1"/>
    </xf>
    <xf numFmtId="176" fontId="4" fillId="2" borderId="87" xfId="2" applyNumberFormat="1" applyFont="1" applyFill="1" applyBorder="1" applyAlignment="1">
      <alignment horizontal="left" vertical="top" wrapText="1"/>
    </xf>
    <xf numFmtId="176" fontId="4" fillId="2" borderId="161" xfId="2" applyNumberFormat="1" applyFont="1" applyFill="1" applyBorder="1" applyAlignment="1">
      <alignment horizontal="left" vertical="top" wrapText="1"/>
    </xf>
    <xf numFmtId="176" fontId="0" fillId="2" borderId="1" xfId="2" applyNumberFormat="1" applyFont="1" applyFill="1" applyBorder="1" applyAlignment="1">
      <alignment horizontal="left" vertical="top" wrapText="1"/>
    </xf>
    <xf numFmtId="176" fontId="0" fillId="2" borderId="3" xfId="2" applyNumberFormat="1" applyFont="1" applyFill="1" applyBorder="1" applyAlignment="1">
      <alignment horizontal="left" vertical="top" wrapText="1"/>
    </xf>
    <xf numFmtId="176" fontId="4" fillId="2" borderId="118" xfId="2" applyNumberFormat="1" applyFont="1" applyFill="1" applyBorder="1" applyAlignment="1">
      <alignment horizontal="left" vertical="top" wrapText="1"/>
    </xf>
    <xf numFmtId="176" fontId="4" fillId="2" borderId="60" xfId="2" applyNumberFormat="1" applyFont="1" applyFill="1" applyBorder="1" applyAlignment="1">
      <alignment horizontal="left" vertical="top" wrapText="1"/>
    </xf>
    <xf numFmtId="0" fontId="4" fillId="2" borderId="8" xfId="2" applyNumberFormat="1" applyFont="1" applyFill="1" applyBorder="1" applyAlignment="1">
      <alignment horizontal="left" vertical="top" wrapText="1"/>
    </xf>
    <xf numFmtId="176" fontId="4" fillId="0" borderId="62" xfId="2" applyNumberFormat="1" applyFont="1" applyFill="1" applyBorder="1" applyAlignment="1">
      <alignment horizontal="center" vertical="top" wrapText="1"/>
    </xf>
    <xf numFmtId="176" fontId="4" fillId="0" borderId="63" xfId="2" applyNumberFormat="1" applyFont="1" applyFill="1" applyBorder="1" applyAlignment="1">
      <alignment horizontal="center" vertical="top" wrapText="1"/>
    </xf>
    <xf numFmtId="176" fontId="4" fillId="2" borderId="118" xfId="2" applyNumberFormat="1" applyFont="1" applyFill="1" applyBorder="1" applyAlignment="1">
      <alignment horizontal="center" vertical="top" wrapText="1"/>
    </xf>
    <xf numFmtId="176" fontId="4" fillId="2" borderId="60" xfId="2" applyNumberFormat="1" applyFont="1" applyFill="1" applyBorder="1" applyAlignment="1">
      <alignment horizontal="center" vertical="top" wrapText="1"/>
    </xf>
    <xf numFmtId="176" fontId="0" fillId="2" borderId="8" xfId="2" applyNumberFormat="1" applyFont="1" applyFill="1" applyBorder="1" applyAlignment="1">
      <alignment horizontal="left" vertical="top" wrapText="1"/>
    </xf>
    <xf numFmtId="176" fontId="0" fillId="2" borderId="49" xfId="2" applyNumberFormat="1" applyFont="1" applyFill="1" applyBorder="1" applyAlignment="1">
      <alignment horizontal="left" vertical="top" wrapText="1"/>
    </xf>
    <xf numFmtId="176" fontId="0" fillId="2" borderId="27" xfId="2" applyNumberFormat="1" applyFont="1" applyFill="1" applyBorder="1" applyAlignment="1">
      <alignment horizontal="left" vertical="top" wrapText="1"/>
    </xf>
    <xf numFmtId="176" fontId="4" fillId="2" borderId="27" xfId="2" applyNumberFormat="1" applyFont="1" applyFill="1" applyBorder="1" applyAlignment="1">
      <alignment horizontal="center" vertical="top" wrapText="1"/>
    </xf>
    <xf numFmtId="176" fontId="4" fillId="2" borderId="158" xfId="2" applyNumberFormat="1" applyFont="1" applyFill="1" applyBorder="1" applyAlignment="1">
      <alignment horizontal="left" vertical="top" wrapText="1"/>
    </xf>
    <xf numFmtId="176" fontId="4" fillId="2" borderId="97" xfId="2" applyNumberFormat="1" applyFont="1" applyFill="1" applyBorder="1" applyAlignment="1">
      <alignment horizontal="left" vertical="top" wrapText="1"/>
    </xf>
    <xf numFmtId="176" fontId="4" fillId="2" borderId="17" xfId="2" applyNumberFormat="1" applyFont="1" applyFill="1" applyBorder="1" applyAlignment="1">
      <alignment horizontal="left" vertical="top" wrapText="1"/>
    </xf>
    <xf numFmtId="176" fontId="0" fillId="2" borderId="58" xfId="2" applyNumberFormat="1" applyFont="1" applyFill="1" applyBorder="1" applyAlignment="1">
      <alignment horizontal="left" vertical="top" wrapText="1"/>
    </xf>
    <xf numFmtId="176" fontId="0" fillId="2" borderId="9" xfId="2" applyNumberFormat="1" applyFont="1" applyFill="1" applyBorder="1" applyAlignment="1">
      <alignment horizontal="left" vertical="top" wrapText="1"/>
    </xf>
    <xf numFmtId="41" fontId="5" fillId="5" borderId="58" xfId="1" applyNumberFormat="1" applyFont="1" applyFill="1" applyBorder="1" applyAlignment="1">
      <alignment horizontal="center" vertical="center" wrapText="1"/>
    </xf>
    <xf numFmtId="41" fontId="5" fillId="5" borderId="27" xfId="1" applyNumberFormat="1" applyFont="1" applyFill="1" applyBorder="1" applyAlignment="1">
      <alignment horizontal="center" vertical="center" wrapText="1"/>
    </xf>
    <xf numFmtId="181" fontId="5" fillId="5" borderId="58" xfId="1" applyNumberFormat="1" applyFont="1" applyFill="1" applyBorder="1" applyAlignment="1">
      <alignment horizontal="center" vertical="center" wrapText="1"/>
    </xf>
    <xf numFmtId="181" fontId="5" fillId="5" borderId="27" xfId="1" applyNumberFormat="1" applyFont="1" applyFill="1" applyBorder="1" applyAlignment="1">
      <alignment horizontal="center" vertical="center" wrapText="1"/>
    </xf>
    <xf numFmtId="9" fontId="5" fillId="5" borderId="1" xfId="1" applyNumberFormat="1" applyFont="1" applyFill="1" applyBorder="1" applyAlignment="1">
      <alignment horizontal="center" vertical="center" wrapText="1"/>
    </xf>
    <xf numFmtId="9" fontId="5" fillId="5" borderId="8" xfId="1" applyNumberFormat="1" applyFont="1" applyFill="1" applyBorder="1" applyAlignment="1">
      <alignment horizontal="center" vertical="center" wrapText="1"/>
    </xf>
    <xf numFmtId="177" fontId="5" fillId="5" borderId="2" xfId="1" applyNumberFormat="1" applyFont="1" applyFill="1" applyBorder="1" applyAlignment="1">
      <alignment horizontal="center" vertical="center" wrapText="1"/>
    </xf>
    <xf numFmtId="177" fontId="5" fillId="5" borderId="7" xfId="1" applyNumberFormat="1" applyFont="1" applyFill="1" applyBorder="1" applyAlignment="1">
      <alignment horizontal="center" vertical="center" wrapText="1"/>
    </xf>
    <xf numFmtId="176" fontId="4" fillId="2" borderId="117" xfId="2" applyNumberFormat="1" applyFont="1" applyFill="1" applyBorder="1" applyAlignment="1">
      <alignment horizontal="left" vertical="top" wrapText="1"/>
    </xf>
    <xf numFmtId="176" fontId="4" fillId="2" borderId="62" xfId="2" applyNumberFormat="1" applyFont="1" applyFill="1" applyBorder="1" applyAlignment="1">
      <alignment horizontal="left" vertical="top" wrapText="1"/>
    </xf>
    <xf numFmtId="176" fontId="4" fillId="2" borderId="63" xfId="2" applyNumberFormat="1" applyFont="1" applyFill="1" applyBorder="1" applyAlignment="1">
      <alignment horizontal="left" vertical="top" wrapText="1"/>
    </xf>
    <xf numFmtId="176" fontId="4" fillId="5" borderId="158" xfId="2" applyNumberFormat="1" applyFont="1" applyFill="1" applyBorder="1" applyAlignment="1">
      <alignment horizontal="left" vertical="top" wrapText="1"/>
    </xf>
    <xf numFmtId="176" fontId="4" fillId="5" borderId="1" xfId="2" applyNumberFormat="1" applyFont="1" applyFill="1" applyBorder="1" applyAlignment="1">
      <alignment horizontal="left" vertical="top" wrapText="1"/>
    </xf>
    <xf numFmtId="0" fontId="4" fillId="2" borderId="18" xfId="0" applyNumberFormat="1" applyFont="1" applyFill="1" applyBorder="1" applyAlignment="1">
      <alignment horizontal="left" vertical="top" wrapText="1"/>
    </xf>
    <xf numFmtId="0" fontId="4" fillId="2" borderId="112" xfId="0" applyNumberFormat="1" applyFont="1" applyFill="1" applyBorder="1" applyAlignment="1">
      <alignment horizontal="left" vertical="top" wrapText="1"/>
    </xf>
    <xf numFmtId="0" fontId="0" fillId="2" borderId="9" xfId="0" applyNumberFormat="1" applyFont="1" applyFill="1" applyBorder="1" applyAlignment="1">
      <alignment horizontal="left" vertical="top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4" fillId="11" borderId="68" xfId="0" applyNumberFormat="1" applyFont="1" applyFill="1" applyBorder="1" applyAlignment="1">
      <alignment horizontal="left" vertical="top"/>
    </xf>
    <xf numFmtId="0" fontId="4" fillId="11" borderId="23" xfId="0" applyNumberFormat="1" applyFont="1" applyFill="1" applyBorder="1" applyAlignment="1">
      <alignment horizontal="left" vertical="top"/>
    </xf>
    <xf numFmtId="0" fontId="4" fillId="5" borderId="114" xfId="0" applyNumberFormat="1" applyFont="1" applyFill="1" applyBorder="1" applyAlignment="1">
      <alignment horizontal="left" vertical="top"/>
    </xf>
    <xf numFmtId="0" fontId="4" fillId="5" borderId="115" xfId="0" applyNumberFormat="1" applyFont="1" applyFill="1" applyBorder="1" applyAlignment="1">
      <alignment horizontal="left" vertical="top"/>
    </xf>
    <xf numFmtId="0" fontId="4" fillId="5" borderId="20" xfId="0" applyNumberFormat="1" applyFont="1" applyFill="1" applyBorder="1" applyAlignment="1">
      <alignment horizontal="left" vertical="top"/>
    </xf>
    <xf numFmtId="0" fontId="4" fillId="4" borderId="154" xfId="0" applyNumberFormat="1" applyFont="1" applyFill="1" applyBorder="1" applyAlignment="1">
      <alignment horizontal="center" vertical="center"/>
    </xf>
    <xf numFmtId="0" fontId="4" fillId="4" borderId="155" xfId="0" applyNumberFormat="1" applyFont="1" applyFill="1" applyBorder="1" applyAlignment="1">
      <alignment horizontal="center" vertical="center"/>
    </xf>
    <xf numFmtId="0" fontId="5" fillId="0" borderId="154" xfId="0" applyNumberFormat="1" applyFont="1" applyBorder="1" applyAlignment="1">
      <alignment horizontal="center" vertical="center" wrapText="1"/>
    </xf>
    <xf numFmtId="0" fontId="5" fillId="0" borderId="156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55" xfId="0" applyNumberFormat="1" applyFont="1" applyBorder="1" applyAlignment="1">
      <alignment horizontal="center" vertical="center"/>
    </xf>
    <xf numFmtId="0" fontId="4" fillId="11" borderId="118" xfId="0" applyNumberFormat="1" applyFont="1" applyFill="1" applyBorder="1" applyAlignment="1">
      <alignment horizontal="center" vertical="top"/>
    </xf>
    <xf numFmtId="0" fontId="4" fillId="11" borderId="60" xfId="0" applyNumberFormat="1" applyFont="1" applyFill="1" applyBorder="1" applyAlignment="1">
      <alignment horizontal="center" vertical="top"/>
    </xf>
    <xf numFmtId="0" fontId="4" fillId="2" borderId="52" xfId="0" applyNumberFormat="1" applyFont="1" applyFill="1" applyBorder="1" applyAlignment="1">
      <alignment horizontal="left" vertical="top"/>
    </xf>
    <xf numFmtId="0" fontId="4" fillId="2" borderId="87" xfId="0" applyNumberFormat="1" applyFont="1" applyFill="1" applyBorder="1" applyAlignment="1">
      <alignment horizontal="left" vertical="top"/>
    </xf>
    <xf numFmtId="0" fontId="4" fillId="2" borderId="161" xfId="0" applyNumberFormat="1" applyFont="1" applyFill="1" applyBorder="1" applyAlignment="1">
      <alignment horizontal="left" vertical="top"/>
    </xf>
    <xf numFmtId="0" fontId="0" fillId="2" borderId="58" xfId="0" applyNumberFormat="1" applyFont="1" applyFill="1" applyBorder="1" applyAlignment="1">
      <alignment horizontal="left" vertical="top"/>
    </xf>
    <xf numFmtId="0" fontId="0" fillId="2" borderId="49" xfId="0" applyNumberFormat="1" applyFont="1" applyFill="1" applyBorder="1" applyAlignment="1">
      <alignment horizontal="left" vertical="top"/>
    </xf>
    <xf numFmtId="0" fontId="0" fillId="2" borderId="27" xfId="0" applyNumberFormat="1" applyFont="1" applyFill="1" applyBorder="1" applyAlignment="1">
      <alignment horizontal="left" vertical="top"/>
    </xf>
    <xf numFmtId="0" fontId="0" fillId="2" borderId="58" xfId="0" applyNumberFormat="1" applyFont="1" applyFill="1" applyBorder="1" applyAlignment="1">
      <alignment horizontal="left" vertical="top" wrapText="1"/>
    </xf>
    <xf numFmtId="0" fontId="0" fillId="2" borderId="49" xfId="0" applyNumberFormat="1" applyFont="1" applyFill="1" applyBorder="1" applyAlignment="1">
      <alignment horizontal="left" vertical="top" wrapText="1"/>
    </xf>
    <xf numFmtId="0" fontId="0" fillId="2" borderId="27" xfId="0" applyNumberFormat="1" applyFont="1" applyFill="1" applyBorder="1" applyAlignment="1">
      <alignment horizontal="left" vertical="top" wrapText="1"/>
    </xf>
    <xf numFmtId="0" fontId="4" fillId="11" borderId="13" xfId="0" applyNumberFormat="1" applyFont="1" applyFill="1" applyBorder="1" applyAlignment="1">
      <alignment horizontal="center" vertical="top" wrapText="1"/>
    </xf>
    <xf numFmtId="0" fontId="4" fillId="11" borderId="62" xfId="0" applyNumberFormat="1" applyFont="1" applyFill="1" applyBorder="1" applyAlignment="1">
      <alignment horizontal="center" vertical="top"/>
    </xf>
    <xf numFmtId="0" fontId="4" fillId="11" borderId="63" xfId="0" applyNumberFormat="1" applyFont="1" applyFill="1" applyBorder="1" applyAlignment="1">
      <alignment horizontal="center" vertical="top"/>
    </xf>
    <xf numFmtId="0" fontId="4" fillId="5" borderId="162" xfId="0" applyNumberFormat="1" applyFont="1" applyFill="1" applyBorder="1" applyAlignment="1">
      <alignment horizontal="center" vertical="center"/>
    </xf>
    <xf numFmtId="0" fontId="4" fillId="5" borderId="124" xfId="0" applyNumberFormat="1" applyFont="1" applyFill="1" applyBorder="1" applyAlignment="1">
      <alignment horizontal="center" vertical="center"/>
    </xf>
    <xf numFmtId="0" fontId="4" fillId="0" borderId="91" xfId="0" applyNumberFormat="1" applyFont="1" applyFill="1" applyBorder="1" applyAlignment="1">
      <alignment horizontal="left" vertical="top" wrapText="1"/>
    </xf>
    <xf numFmtId="0" fontId="4" fillId="0" borderId="18" xfId="0" applyNumberFormat="1" applyFont="1" applyFill="1" applyBorder="1" applyAlignment="1">
      <alignment horizontal="left" vertical="top" wrapText="1"/>
    </xf>
    <xf numFmtId="0" fontId="4" fillId="0" borderId="26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4" fillId="11" borderId="73" xfId="0" applyNumberFormat="1" applyFont="1" applyFill="1" applyBorder="1" applyAlignment="1">
      <alignment horizontal="center" vertical="top"/>
    </xf>
    <xf numFmtId="0" fontId="4" fillId="11" borderId="20" xfId="0" applyNumberFormat="1" applyFont="1" applyFill="1" applyBorder="1" applyAlignment="1">
      <alignment horizontal="center" vertical="top"/>
    </xf>
    <xf numFmtId="0" fontId="4" fillId="2" borderId="52" xfId="0" applyNumberFormat="1" applyFont="1" applyFill="1" applyBorder="1" applyAlignment="1">
      <alignment horizontal="center" vertical="top"/>
    </xf>
    <xf numFmtId="0" fontId="4" fillId="2" borderId="161" xfId="0" applyNumberFormat="1" applyFont="1" applyFill="1" applyBorder="1" applyAlignment="1">
      <alignment horizontal="center" vertical="top"/>
    </xf>
    <xf numFmtId="0" fontId="4" fillId="11" borderId="8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0" fillId="2" borderId="8" xfId="0" applyNumberFormat="1" applyFont="1" applyFill="1" applyBorder="1" applyAlignment="1">
      <alignment horizontal="left" vertical="top" wrapText="1"/>
    </xf>
    <xf numFmtId="0" fontId="4" fillId="2" borderId="117" xfId="0" applyNumberFormat="1" applyFont="1" applyFill="1" applyBorder="1" applyAlignment="1">
      <alignment horizontal="left" vertical="top" wrapText="1"/>
    </xf>
    <xf numFmtId="0" fontId="4" fillId="2" borderId="97" xfId="0" applyNumberFormat="1" applyFont="1" applyFill="1" applyBorder="1" applyAlignment="1">
      <alignment horizontal="left" vertical="top" wrapText="1"/>
    </xf>
    <xf numFmtId="0" fontId="4" fillId="2" borderId="17" xfId="0" applyNumberFormat="1" applyFont="1" applyFill="1" applyBorder="1" applyAlignment="1">
      <alignment horizontal="left" vertical="top" wrapText="1"/>
    </xf>
    <xf numFmtId="177" fontId="5" fillId="5" borderId="131" xfId="1" applyNumberFormat="1" applyFont="1" applyFill="1" applyBorder="1" applyAlignment="1">
      <alignment horizontal="center" vertical="center" wrapText="1"/>
    </xf>
    <xf numFmtId="177" fontId="5" fillId="5" borderId="28" xfId="1" applyNumberFormat="1" applyFont="1" applyFill="1" applyBorder="1" applyAlignment="1">
      <alignment horizontal="center" vertical="center" wrapText="1"/>
    </xf>
    <xf numFmtId="0" fontId="4" fillId="5" borderId="158" xfId="2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center" vertical="center" wrapText="1"/>
    </xf>
    <xf numFmtId="0" fontId="4" fillId="2" borderId="18" xfId="2" applyNumberFormat="1" applyFont="1" applyFill="1" applyBorder="1" applyAlignment="1">
      <alignment horizontal="left" vertical="top" wrapText="1"/>
    </xf>
    <xf numFmtId="0" fontId="4" fillId="2" borderId="114" xfId="2" applyNumberFormat="1" applyFont="1" applyFill="1" applyBorder="1" applyAlignment="1">
      <alignment horizontal="left" vertical="top" wrapText="1"/>
    </xf>
    <xf numFmtId="0" fontId="0" fillId="2" borderId="1" xfId="2" applyNumberFormat="1" applyFont="1" applyFill="1" applyBorder="1" applyAlignment="1">
      <alignment horizontal="left" vertical="top" wrapText="1"/>
    </xf>
    <xf numFmtId="0" fontId="0" fillId="2" borderId="3" xfId="2" applyNumberFormat="1" applyFont="1" applyFill="1" applyBorder="1" applyAlignment="1">
      <alignment horizontal="left" vertical="top" wrapText="1"/>
    </xf>
    <xf numFmtId="0" fontId="0" fillId="2" borderId="8" xfId="2" applyNumberFormat="1" applyFont="1" applyFill="1" applyBorder="1" applyAlignment="1">
      <alignment horizontal="left" vertical="top" wrapText="1"/>
    </xf>
    <xf numFmtId="0" fontId="4" fillId="2" borderId="91" xfId="2" applyNumberFormat="1" applyFont="1" applyFill="1" applyBorder="1" applyAlignment="1">
      <alignment horizontal="left" vertical="top" wrapText="1"/>
    </xf>
    <xf numFmtId="0" fontId="4" fillId="0" borderId="91" xfId="0" applyNumberFormat="1" applyFont="1" applyBorder="1" applyAlignment="1">
      <alignment horizontal="left" vertical="center"/>
    </xf>
    <xf numFmtId="0" fontId="4" fillId="0" borderId="66" xfId="0" applyNumberFormat="1" applyFont="1" applyBorder="1" applyAlignment="1">
      <alignment horizontal="left" vertical="center"/>
    </xf>
    <xf numFmtId="0" fontId="4" fillId="0" borderId="67" xfId="0" applyNumberFormat="1" applyFont="1" applyBorder="1" applyAlignment="1">
      <alignment horizontal="left" vertical="center"/>
    </xf>
    <xf numFmtId="0" fontId="4" fillId="4" borderId="161" xfId="2" applyNumberFormat="1" applyFont="1" applyFill="1" applyBorder="1" applyAlignment="1">
      <alignment horizontal="center" vertical="center" wrapText="1"/>
    </xf>
    <xf numFmtId="0" fontId="4" fillId="4" borderId="27" xfId="2" applyNumberFormat="1" applyFont="1" applyFill="1" applyBorder="1" applyAlignment="1">
      <alignment horizontal="center" vertical="center" wrapText="1"/>
    </xf>
    <xf numFmtId="0" fontId="4" fillId="2" borderId="52" xfId="2" applyNumberFormat="1" applyFont="1" applyFill="1" applyBorder="1" applyAlignment="1">
      <alignment horizontal="left" vertical="top" wrapText="1"/>
    </xf>
    <xf numFmtId="0" fontId="4" fillId="2" borderId="161" xfId="2" applyNumberFormat="1" applyFont="1" applyFill="1" applyBorder="1" applyAlignment="1">
      <alignment horizontal="left" vertical="top" wrapText="1"/>
    </xf>
    <xf numFmtId="0" fontId="4" fillId="2" borderId="27" xfId="2" applyNumberFormat="1" applyFont="1" applyFill="1" applyBorder="1" applyAlignment="1">
      <alignment horizontal="center" vertical="top" wrapText="1"/>
    </xf>
    <xf numFmtId="0" fontId="5" fillId="0" borderId="156" xfId="0" applyNumberFormat="1" applyFont="1" applyBorder="1" applyAlignment="1">
      <alignment horizontal="center" vertical="center" wrapText="1"/>
    </xf>
    <xf numFmtId="0" fontId="5" fillId="0" borderId="155" xfId="0" applyNumberFormat="1" applyFont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top" wrapText="1"/>
    </xf>
    <xf numFmtId="0" fontId="8" fillId="0" borderId="62" xfId="0" applyNumberFormat="1" applyFont="1" applyBorder="1" applyAlignment="1">
      <alignment horizontal="center" vertical="top" wrapText="1"/>
    </xf>
    <xf numFmtId="0" fontId="8" fillId="0" borderId="63" xfId="0" applyNumberFormat="1" applyFont="1" applyBorder="1" applyAlignment="1">
      <alignment horizontal="center" vertical="top" wrapText="1"/>
    </xf>
    <xf numFmtId="0" fontId="8" fillId="2" borderId="62" xfId="4" applyNumberFormat="1" applyFont="1" applyFill="1" applyBorder="1" applyAlignment="1">
      <alignment horizontal="center" vertical="top" wrapText="1"/>
    </xf>
    <xf numFmtId="0" fontId="8" fillId="2" borderId="63" xfId="4" applyNumberFormat="1" applyFont="1" applyFill="1" applyBorder="1" applyAlignment="1">
      <alignment horizontal="center" vertical="top" wrapText="1"/>
    </xf>
    <xf numFmtId="0" fontId="8" fillId="2" borderId="52" xfId="4" applyNumberFormat="1" applyFont="1" applyFill="1" applyBorder="1" applyAlignment="1">
      <alignment horizontal="left" vertical="top" wrapText="1"/>
    </xf>
    <xf numFmtId="0" fontId="8" fillId="2" borderId="87" xfId="4" applyNumberFormat="1" applyFont="1" applyFill="1" applyBorder="1" applyAlignment="1">
      <alignment horizontal="left" vertical="top" wrapText="1"/>
    </xf>
    <xf numFmtId="0" fontId="8" fillId="2" borderId="161" xfId="4" applyNumberFormat="1" applyFont="1" applyFill="1" applyBorder="1" applyAlignment="1">
      <alignment horizontal="left" vertical="top" wrapText="1"/>
    </xf>
    <xf numFmtId="0" fontId="8" fillId="0" borderId="62" xfId="0" applyNumberFormat="1" applyFont="1" applyFill="1" applyBorder="1" applyAlignment="1" applyProtection="1">
      <alignment horizontal="center" vertical="top" wrapText="1"/>
    </xf>
    <xf numFmtId="0" fontId="8" fillId="0" borderId="63" xfId="0" applyNumberFormat="1" applyFont="1" applyFill="1" applyBorder="1" applyAlignment="1" applyProtection="1">
      <alignment horizontal="center" vertical="top" wrapText="1"/>
    </xf>
    <xf numFmtId="0" fontId="8" fillId="0" borderId="115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14" fillId="2" borderId="0" xfId="2" applyNumberFormat="1" applyFont="1" applyFill="1" applyBorder="1" applyAlignment="1">
      <alignment horizontal="center" vertical="center"/>
    </xf>
    <xf numFmtId="0" fontId="15" fillId="2" borderId="0" xfId="2" applyNumberFormat="1" applyFont="1" applyFill="1" applyBorder="1" applyAlignment="1">
      <alignment horizontal="center" vertical="center"/>
    </xf>
    <xf numFmtId="0" fontId="4" fillId="2" borderId="158" xfId="2" applyNumberFormat="1" applyFont="1" applyFill="1" applyBorder="1" applyAlignment="1">
      <alignment vertical="top" wrapText="1"/>
    </xf>
    <xf numFmtId="0" fontId="4" fillId="2" borderId="17" xfId="2" applyNumberFormat="1" applyFont="1" applyFill="1" applyBorder="1" applyAlignment="1">
      <alignment vertical="top" wrapText="1"/>
    </xf>
    <xf numFmtId="0" fontId="0" fillId="2" borderId="8" xfId="2" applyNumberFormat="1" applyFont="1" applyFill="1" applyBorder="1" applyAlignment="1">
      <alignment horizontal="center" wrapText="1"/>
    </xf>
    <xf numFmtId="0" fontId="5" fillId="0" borderId="16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5" xfId="0" applyNumberFormat="1" applyFont="1" applyBorder="1" applyAlignment="1">
      <alignment horizontal="center" vertical="center" wrapText="1"/>
    </xf>
    <xf numFmtId="0" fontId="4" fillId="2" borderId="30" xfId="0" applyNumberFormat="1" applyFont="1" applyFill="1" applyBorder="1" applyAlignment="1">
      <alignment horizontal="left" vertical="top" wrapText="1"/>
    </xf>
    <xf numFmtId="0" fontId="4" fillId="2" borderId="27" xfId="0" applyNumberFormat="1" applyFont="1" applyFill="1" applyBorder="1" applyAlignment="1">
      <alignment horizontal="left" vertical="top" wrapText="1"/>
    </xf>
    <xf numFmtId="0" fontId="4" fillId="2" borderId="62" xfId="0" applyNumberFormat="1" applyFont="1" applyFill="1" applyBorder="1" applyAlignment="1">
      <alignment horizontal="center" vertical="center" wrapText="1"/>
    </xf>
    <xf numFmtId="0" fontId="4" fillId="2" borderId="63" xfId="0" applyNumberFormat="1" applyFont="1" applyFill="1" applyBorder="1" applyAlignment="1">
      <alignment horizontal="center" vertical="center" wrapText="1"/>
    </xf>
    <xf numFmtId="0" fontId="4" fillId="2" borderId="62" xfId="0" applyNumberFormat="1" applyFont="1" applyFill="1" applyBorder="1" applyAlignment="1">
      <alignment horizontal="center" vertical="top" wrapText="1"/>
    </xf>
    <xf numFmtId="0" fontId="4" fillId="2" borderId="63" xfId="0" applyNumberFormat="1" applyFont="1" applyFill="1" applyBorder="1" applyAlignment="1">
      <alignment horizontal="center" vertical="top" wrapText="1"/>
    </xf>
    <xf numFmtId="0" fontId="4" fillId="2" borderId="52" xfId="0" applyNumberFormat="1" applyFont="1" applyFill="1" applyBorder="1" applyAlignment="1">
      <alignment horizontal="left" vertical="top" wrapText="1"/>
    </xf>
    <xf numFmtId="0" fontId="4" fillId="2" borderId="87" xfId="0" applyNumberFormat="1" applyFont="1" applyFill="1" applyBorder="1" applyAlignment="1">
      <alignment horizontal="left" vertical="top" wrapText="1"/>
    </xf>
    <xf numFmtId="0" fontId="4" fillId="2" borderId="161" xfId="0" applyNumberFormat="1" applyFont="1" applyFill="1" applyBorder="1" applyAlignment="1">
      <alignment horizontal="left" vertical="top" wrapText="1"/>
    </xf>
    <xf numFmtId="0" fontId="4" fillId="2" borderId="52" xfId="0" applyNumberFormat="1" applyFont="1" applyFill="1" applyBorder="1" applyAlignment="1">
      <alignment vertical="top" wrapText="1"/>
    </xf>
    <xf numFmtId="0" fontId="4" fillId="2" borderId="87" xfId="0" applyNumberFormat="1" applyFont="1" applyFill="1" applyBorder="1" applyAlignment="1">
      <alignment vertical="top" wrapText="1"/>
    </xf>
    <xf numFmtId="0" fontId="4" fillId="2" borderId="161" xfId="0" applyNumberFormat="1" applyFont="1" applyFill="1" applyBorder="1" applyAlignment="1">
      <alignment vertical="top" wrapText="1"/>
    </xf>
    <xf numFmtId="0" fontId="4" fillId="2" borderId="58" xfId="0" applyNumberFormat="1" applyFont="1" applyFill="1" applyBorder="1" applyAlignment="1">
      <alignment horizontal="left" vertical="top" wrapText="1"/>
    </xf>
    <xf numFmtId="0" fontId="4" fillId="2" borderId="49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4" fillId="2" borderId="8" xfId="0" applyNumberFormat="1" applyFont="1" applyFill="1" applyBorder="1" applyAlignment="1">
      <alignment horizontal="center" vertical="top" wrapText="1"/>
    </xf>
    <xf numFmtId="0" fontId="9" fillId="2" borderId="115" xfId="2" applyNumberFormat="1" applyFont="1" applyFill="1" applyBorder="1" applyAlignment="1">
      <alignment horizontal="left" vertical="center"/>
    </xf>
    <xf numFmtId="0" fontId="5" fillId="5" borderId="59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41" fontId="5" fillId="5" borderId="49" xfId="1" applyNumberFormat="1" applyFont="1" applyFill="1" applyBorder="1" applyAlignment="1">
      <alignment horizontal="center" vertical="center" wrapText="1"/>
    </xf>
    <xf numFmtId="0" fontId="5" fillId="5" borderId="64" xfId="0" applyNumberFormat="1" applyFont="1" applyFill="1" applyBorder="1" applyAlignment="1">
      <alignment horizontal="center" vertical="center"/>
    </xf>
    <xf numFmtId="0" fontId="8" fillId="0" borderId="117" xfId="0" applyNumberFormat="1" applyFont="1" applyBorder="1" applyAlignment="1">
      <alignment horizontal="left" vertical="top"/>
    </xf>
    <xf numFmtId="0" fontId="8" fillId="0" borderId="97" xfId="0" applyNumberFormat="1" applyFont="1" applyBorder="1" applyAlignment="1">
      <alignment horizontal="left" vertical="top"/>
    </xf>
    <xf numFmtId="0" fontId="7" fillId="0" borderId="9" xfId="0" applyNumberFormat="1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8" fillId="2" borderId="117" xfId="4" applyNumberFormat="1" applyFont="1" applyFill="1" applyBorder="1" applyAlignment="1">
      <alignment vertical="top" wrapText="1"/>
    </xf>
    <xf numFmtId="0" fontId="8" fillId="0" borderId="97" xfId="0" applyNumberFormat="1" applyFont="1" applyFill="1" applyBorder="1" applyAlignment="1" applyProtection="1">
      <alignment vertical="top" wrapText="1"/>
    </xf>
    <xf numFmtId="0" fontId="8" fillId="0" borderId="17" xfId="0" applyNumberFormat="1" applyFont="1" applyFill="1" applyBorder="1" applyAlignment="1" applyProtection="1">
      <alignment vertical="top" wrapText="1"/>
    </xf>
    <xf numFmtId="0" fontId="7" fillId="2" borderId="3" xfId="4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vertical="top" wrapText="1"/>
    </xf>
    <xf numFmtId="0" fontId="7" fillId="2" borderId="1" xfId="4" applyNumberFormat="1" applyFont="1" applyFill="1" applyBorder="1" applyAlignment="1">
      <alignment vertical="top" wrapText="1"/>
    </xf>
    <xf numFmtId="0" fontId="7" fillId="2" borderId="9" xfId="4" applyNumberFormat="1" applyFont="1" applyFill="1" applyBorder="1" applyAlignment="1">
      <alignment vertical="top" wrapText="1"/>
    </xf>
    <xf numFmtId="0" fontId="4" fillId="2" borderId="62" xfId="0" applyNumberFormat="1" applyFont="1" applyFill="1" applyBorder="1" applyAlignment="1">
      <alignment horizontal="center" vertical="top"/>
    </xf>
    <xf numFmtId="0" fontId="4" fillId="2" borderId="63" xfId="0" applyNumberFormat="1" applyFont="1" applyFill="1" applyBorder="1" applyAlignment="1">
      <alignment horizontal="center" vertical="top"/>
    </xf>
    <xf numFmtId="0" fontId="4" fillId="2" borderId="30" xfId="0" applyNumberFormat="1" applyFont="1" applyFill="1" applyBorder="1" applyAlignment="1">
      <alignment horizontal="center" vertical="top" wrapText="1"/>
    </xf>
    <xf numFmtId="0" fontId="4" fillId="5" borderId="32" xfId="0" applyNumberFormat="1" applyFont="1" applyFill="1" applyBorder="1" applyAlignment="1">
      <alignment horizontal="center" vertical="center"/>
    </xf>
    <xf numFmtId="0" fontId="4" fillId="5" borderId="95" xfId="0" applyNumberFormat="1" applyFont="1" applyFill="1" applyBorder="1" applyAlignment="1">
      <alignment horizontal="center" vertical="center"/>
    </xf>
    <xf numFmtId="0" fontId="4" fillId="5" borderId="31" xfId="0" applyNumberFormat="1" applyFont="1" applyFill="1" applyBorder="1" applyAlignment="1">
      <alignment horizontal="center" vertical="center"/>
    </xf>
    <xf numFmtId="0" fontId="5" fillId="5" borderId="156" xfId="0" applyNumberFormat="1" applyFont="1" applyFill="1" applyBorder="1" applyAlignment="1">
      <alignment horizontal="center" vertical="center"/>
    </xf>
    <xf numFmtId="0" fontId="4" fillId="2" borderId="163" xfId="0" applyNumberFormat="1" applyFont="1" applyFill="1" applyBorder="1" applyAlignment="1">
      <alignment horizontal="center" vertical="top" wrapText="1"/>
    </xf>
    <xf numFmtId="0" fontId="4" fillId="2" borderId="158" xfId="0" applyNumberFormat="1" applyFont="1" applyFill="1" applyBorder="1" applyAlignment="1">
      <alignment horizontal="left" vertical="top" wrapText="1"/>
    </xf>
    <xf numFmtId="0" fontId="4" fillId="2" borderId="118" xfId="0" applyNumberFormat="1" applyFont="1" applyFill="1" applyBorder="1" applyAlignment="1">
      <alignment horizontal="center" vertical="top" wrapText="1"/>
    </xf>
    <xf numFmtId="0" fontId="4" fillId="2" borderId="60" xfId="0" applyNumberFormat="1" applyFont="1" applyFill="1" applyBorder="1" applyAlignment="1">
      <alignment horizontal="center" vertical="top" wrapText="1"/>
    </xf>
    <xf numFmtId="181" fontId="5" fillId="5" borderId="49" xfId="1" applyNumberFormat="1" applyFont="1" applyFill="1" applyBorder="1" applyAlignment="1">
      <alignment horizontal="center" vertical="center" wrapText="1"/>
    </xf>
    <xf numFmtId="9" fontId="5" fillId="5" borderId="3" xfId="1" applyNumberFormat="1" applyFont="1" applyFill="1" applyBorder="1" applyAlignment="1">
      <alignment horizontal="center" vertical="center" wrapText="1"/>
    </xf>
    <xf numFmtId="177" fontId="5" fillId="5" borderId="39" xfId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left" vertical="top"/>
    </xf>
    <xf numFmtId="0" fontId="4" fillId="2" borderId="26" xfId="0" applyNumberFormat="1" applyFont="1" applyFill="1" applyBorder="1" applyAlignment="1">
      <alignment horizontal="left" vertical="top"/>
    </xf>
    <xf numFmtId="0" fontId="4" fillId="2" borderId="73" xfId="0" applyNumberFormat="1" applyFont="1" applyFill="1" applyBorder="1" applyAlignment="1">
      <alignment horizontal="center" vertical="top" wrapText="1"/>
    </xf>
    <xf numFmtId="0" fontId="4" fillId="2" borderId="115" xfId="0" applyNumberFormat="1" applyFont="1" applyFill="1" applyBorder="1" applyAlignment="1">
      <alignment horizontal="center" vertical="top" wrapText="1"/>
    </xf>
    <xf numFmtId="0" fontId="4" fillId="2" borderId="52" xfId="2" applyNumberFormat="1" applyFont="1" applyFill="1" applyBorder="1" applyAlignment="1">
      <alignment horizontal="center" vertical="top" wrapText="1"/>
    </xf>
    <xf numFmtId="0" fontId="4" fillId="2" borderId="161" xfId="2" applyNumberFormat="1" applyFont="1" applyFill="1" applyBorder="1" applyAlignment="1">
      <alignment horizontal="center" vertical="top" wrapText="1"/>
    </xf>
    <xf numFmtId="0" fontId="0" fillId="0" borderId="156" xfId="0" applyNumberFormat="1" applyBorder="1" applyAlignment="1">
      <alignment horizontal="center" vertical="center"/>
    </xf>
    <xf numFmtId="0" fontId="0" fillId="0" borderId="155" xfId="0" applyNumberFormat="1" applyBorder="1" applyAlignment="1">
      <alignment horizontal="center" vertical="center"/>
    </xf>
    <xf numFmtId="0" fontId="4" fillId="2" borderId="61" xfId="2" applyNumberFormat="1" applyFont="1" applyFill="1" applyBorder="1" applyAlignment="1">
      <alignment vertical="top" wrapText="1"/>
    </xf>
    <xf numFmtId="0" fontId="4" fillId="2" borderId="57" xfId="2" applyNumberFormat="1" applyFont="1" applyFill="1" applyBorder="1" applyAlignment="1">
      <alignment vertical="top" wrapText="1"/>
    </xf>
    <xf numFmtId="0" fontId="0" fillId="2" borderId="0" xfId="2" applyNumberFormat="1" applyFont="1" applyFill="1" applyBorder="1" applyAlignment="1">
      <alignment horizontal="left" wrapText="1"/>
    </xf>
    <xf numFmtId="0" fontId="0" fillId="2" borderId="157" xfId="2" applyNumberFormat="1" applyFont="1" applyFill="1" applyBorder="1" applyAlignment="1">
      <alignment horizontal="left" wrapText="1"/>
    </xf>
    <xf numFmtId="0" fontId="4" fillId="2" borderId="62" xfId="2" applyNumberFormat="1" applyFont="1" applyFill="1" applyBorder="1" applyAlignment="1">
      <alignment horizontal="center" vertical="top" wrapText="1"/>
    </xf>
    <xf numFmtId="0" fontId="4" fillId="2" borderId="146" xfId="2" applyNumberFormat="1" applyFont="1" applyFill="1" applyBorder="1" applyAlignment="1">
      <alignment horizontal="center" vertical="top" wrapText="1"/>
    </xf>
    <xf numFmtId="0" fontId="4" fillId="4" borderId="115" xfId="2" applyNumberFormat="1" applyFont="1" applyFill="1" applyBorder="1" applyAlignment="1">
      <alignment horizontal="center" vertical="center" wrapText="1"/>
    </xf>
    <xf numFmtId="0" fontId="4" fillId="4" borderId="95" xfId="2" applyNumberFormat="1" applyFont="1" applyFill="1" applyBorder="1" applyAlignment="1">
      <alignment horizontal="center" vertical="center" wrapText="1"/>
    </xf>
    <xf numFmtId="0" fontId="4" fillId="4" borderId="40" xfId="2" applyNumberFormat="1" applyFont="1" applyFill="1" applyBorder="1" applyAlignment="1">
      <alignment horizontal="center" vertical="center" wrapText="1"/>
    </xf>
    <xf numFmtId="0" fontId="4" fillId="2" borderId="91" xfId="2" applyNumberFormat="1" applyFont="1" applyFill="1" applyBorder="1" applyAlignment="1">
      <alignment vertical="top" wrapText="1"/>
    </xf>
    <xf numFmtId="0" fontId="4" fillId="2" borderId="18" xfId="2" applyNumberFormat="1" applyFont="1" applyFill="1" applyBorder="1" applyAlignment="1">
      <alignment vertical="top" wrapText="1"/>
    </xf>
    <xf numFmtId="0" fontId="4" fillId="2" borderId="26" xfId="2" applyNumberFormat="1" applyFont="1" applyFill="1" applyBorder="1" applyAlignment="1">
      <alignment vertical="top" wrapText="1"/>
    </xf>
    <xf numFmtId="0" fontId="4" fillId="2" borderId="73" xfId="2" applyNumberFormat="1" applyFont="1" applyFill="1" applyBorder="1" applyAlignment="1">
      <alignment horizontal="center" vertical="top" wrapText="1"/>
    </xf>
    <xf numFmtId="0" fontId="4" fillId="2" borderId="20" xfId="2" applyNumberFormat="1" applyFont="1" applyFill="1" applyBorder="1" applyAlignment="1">
      <alignment horizontal="center" vertical="top" wrapText="1"/>
    </xf>
    <xf numFmtId="0" fontId="4" fillId="2" borderId="97" xfId="2" applyNumberFormat="1" applyFont="1" applyFill="1" applyBorder="1" applyAlignment="1">
      <alignment vertical="top" wrapText="1"/>
    </xf>
    <xf numFmtId="0" fontId="0" fillId="2" borderId="1" xfId="2" applyNumberFormat="1" applyFont="1" applyFill="1" applyBorder="1" applyAlignment="1">
      <alignment horizontal="left" wrapText="1"/>
    </xf>
    <xf numFmtId="0" fontId="0" fillId="2" borderId="3" xfId="2" applyNumberFormat="1" applyFont="1" applyFill="1" applyBorder="1" applyAlignment="1">
      <alignment horizontal="left" wrapText="1"/>
    </xf>
    <xf numFmtId="0" fontId="4" fillId="2" borderId="114" xfId="2" applyNumberFormat="1" applyFont="1" applyFill="1" applyBorder="1" applyAlignment="1">
      <alignment vertical="top" wrapText="1"/>
    </xf>
    <xf numFmtId="0" fontId="0" fillId="2" borderId="159" xfId="2" applyNumberFormat="1" applyFont="1" applyFill="1" applyBorder="1" applyAlignment="1">
      <alignment horizontal="left" wrapText="1"/>
    </xf>
    <xf numFmtId="0" fontId="0" fillId="2" borderId="160" xfId="2" applyNumberFormat="1" applyFont="1" applyFill="1" applyBorder="1" applyAlignment="1">
      <alignment horizontal="left" wrapText="1"/>
    </xf>
    <xf numFmtId="0" fontId="4" fillId="2" borderId="63" xfId="2" applyNumberFormat="1" applyFont="1" applyFill="1" applyBorder="1" applyAlignment="1">
      <alignment horizontal="center" vertical="top" wrapText="1"/>
    </xf>
    <xf numFmtId="0" fontId="4" fillId="0" borderId="87" xfId="2" applyNumberFormat="1" applyFont="1" applyFill="1" applyBorder="1" applyAlignment="1">
      <alignment horizontal="left" vertical="top" wrapText="1"/>
    </xf>
    <xf numFmtId="0" fontId="4" fillId="0" borderId="161" xfId="2" applyNumberFormat="1" applyFont="1" applyFill="1" applyBorder="1" applyAlignment="1">
      <alignment horizontal="left" vertical="top" wrapText="1"/>
    </xf>
    <xf numFmtId="0" fontId="4" fillId="0" borderId="62" xfId="2" applyNumberFormat="1" applyFont="1" applyFill="1" applyBorder="1" applyAlignment="1">
      <alignment horizontal="center" vertical="top" wrapText="1"/>
    </xf>
    <xf numFmtId="0" fontId="4" fillId="0" borderId="63" xfId="2" applyNumberFormat="1" applyFont="1" applyFill="1" applyBorder="1" applyAlignment="1">
      <alignment horizontal="center" vertical="top" wrapText="1"/>
    </xf>
    <xf numFmtId="0" fontId="4" fillId="2" borderId="62" xfId="2" applyNumberFormat="1" applyFont="1" applyFill="1" applyBorder="1" applyAlignment="1">
      <alignment horizontal="center" vertical="center" wrapText="1"/>
    </xf>
    <xf numFmtId="0" fontId="4" fillId="2" borderId="63" xfId="2" applyNumberFormat="1" applyFont="1" applyFill="1" applyBorder="1" applyAlignment="1">
      <alignment horizontal="center" vertical="center" wrapText="1"/>
    </xf>
    <xf numFmtId="0" fontId="4" fillId="2" borderId="58" xfId="2" applyNumberFormat="1" applyFont="1" applyFill="1" applyBorder="1" applyAlignment="1">
      <alignment horizontal="center" vertical="top" wrapText="1"/>
    </xf>
    <xf numFmtId="0" fontId="4" fillId="2" borderId="118" xfId="2" applyNumberFormat="1" applyFont="1" applyFill="1" applyBorder="1" applyAlignment="1">
      <alignment horizontal="center" vertical="top" wrapText="1"/>
    </xf>
    <xf numFmtId="0" fontId="4" fillId="2" borderId="60" xfId="2" applyNumberFormat="1" applyFont="1" applyFill="1" applyBorder="1" applyAlignment="1">
      <alignment horizontal="center" vertical="top" wrapText="1"/>
    </xf>
    <xf numFmtId="41" fontId="5" fillId="5" borderId="58" xfId="1" applyNumberFormat="1" applyFont="1" applyFill="1" applyBorder="1" applyAlignment="1">
      <alignment horizontal="center" vertical="top" wrapText="1"/>
    </xf>
    <xf numFmtId="41" fontId="5" fillId="5" borderId="27" xfId="1" applyNumberFormat="1" applyFont="1" applyFill="1" applyBorder="1" applyAlignment="1">
      <alignment horizontal="center" vertical="top" wrapText="1"/>
    </xf>
    <xf numFmtId="0" fontId="0" fillId="2" borderId="49" xfId="2" applyNumberFormat="1" applyFont="1" applyFill="1" applyBorder="1" applyAlignment="1">
      <alignment horizontal="left" vertical="top" wrapText="1"/>
    </xf>
    <xf numFmtId="0" fontId="0" fillId="2" borderId="9" xfId="2" applyNumberFormat="1" applyFont="1" applyFill="1" applyBorder="1" applyAlignment="1">
      <alignment horizontal="left" vertical="top" wrapText="1"/>
    </xf>
    <xf numFmtId="0" fontId="0" fillId="2" borderId="58" xfId="2" applyNumberFormat="1" applyFont="1" applyFill="1" applyBorder="1" applyAlignment="1">
      <alignment horizontal="left" vertical="top" wrapText="1"/>
    </xf>
    <xf numFmtId="0" fontId="0" fillId="2" borderId="27" xfId="2" applyNumberFormat="1" applyFont="1" applyFill="1" applyBorder="1" applyAlignment="1">
      <alignment horizontal="left" vertical="top" wrapText="1"/>
    </xf>
    <xf numFmtId="0" fontId="4" fillId="4" borderId="114" xfId="2" applyNumberFormat="1" applyFont="1" applyFill="1" applyBorder="1" applyAlignment="1">
      <alignment horizontal="center" vertical="top" wrapText="1"/>
    </xf>
    <xf numFmtId="0" fontId="4" fillId="4" borderId="95" xfId="2" applyNumberFormat="1" applyFont="1" applyFill="1" applyBorder="1" applyAlignment="1">
      <alignment horizontal="center" vertical="top" wrapText="1"/>
    </xf>
    <xf numFmtId="0" fontId="4" fillId="4" borderId="40" xfId="2" applyNumberFormat="1" applyFont="1" applyFill="1" applyBorder="1" applyAlignment="1">
      <alignment horizontal="center" vertical="top" wrapText="1"/>
    </xf>
    <xf numFmtId="0" fontId="4" fillId="2" borderId="73" xfId="2" applyNumberFormat="1" applyFont="1" applyFill="1" applyBorder="1" applyAlignment="1">
      <alignment horizontal="center" vertical="center" wrapText="1"/>
    </xf>
    <xf numFmtId="0" fontId="4" fillId="2" borderId="20" xfId="2" applyNumberFormat="1" applyFont="1" applyFill="1" applyBorder="1" applyAlignment="1">
      <alignment horizontal="center" vertical="center" wrapText="1"/>
    </xf>
    <xf numFmtId="0" fontId="4" fillId="2" borderId="165" xfId="2" applyNumberFormat="1" applyFont="1" applyFill="1" applyBorder="1" applyAlignment="1">
      <alignment horizontal="left" vertical="top" wrapText="1"/>
    </xf>
    <xf numFmtId="0" fontId="4" fillId="2" borderId="26" xfId="2" applyNumberFormat="1" applyFont="1" applyFill="1" applyBorder="1" applyAlignment="1">
      <alignment horizontal="left" vertical="top" wrapText="1"/>
    </xf>
    <xf numFmtId="0" fontId="0" fillId="2" borderId="0" xfId="2" applyNumberFormat="1" applyFont="1" applyFill="1" applyBorder="1" applyAlignment="1">
      <alignment horizontal="left" vertical="top" wrapText="1"/>
    </xf>
    <xf numFmtId="0" fontId="0" fillId="2" borderId="157" xfId="2" applyNumberFormat="1" applyFont="1" applyFill="1" applyBorder="1" applyAlignment="1">
      <alignment horizontal="left" vertical="top" wrapText="1"/>
    </xf>
    <xf numFmtId="0" fontId="4" fillId="2" borderId="117" xfId="2" applyNumberFormat="1" applyFont="1" applyFill="1" applyBorder="1" applyAlignment="1">
      <alignment horizontal="left" vertical="top" wrapText="1"/>
    </xf>
    <xf numFmtId="0" fontId="4" fillId="2" borderId="97" xfId="2" applyNumberFormat="1" applyFont="1" applyFill="1" applyBorder="1" applyAlignment="1">
      <alignment horizontal="left" vertical="top" wrapText="1"/>
    </xf>
    <xf numFmtId="0" fontId="4" fillId="2" borderId="112" xfId="2" applyNumberFormat="1" applyFont="1" applyFill="1" applyBorder="1" applyAlignment="1">
      <alignment horizontal="left" vertical="top" wrapText="1"/>
    </xf>
    <xf numFmtId="0" fontId="0" fillId="2" borderId="1" xfId="2" applyNumberFormat="1" applyFont="1" applyFill="1" applyBorder="1" applyAlignment="1">
      <alignment horizontal="left" vertical="center" wrapText="1"/>
    </xf>
    <xf numFmtId="0" fontId="0" fillId="2" borderId="3" xfId="2" applyNumberFormat="1" applyFont="1" applyFill="1" applyBorder="1" applyAlignment="1">
      <alignment horizontal="left" vertical="center" wrapText="1"/>
    </xf>
    <xf numFmtId="0" fontId="0" fillId="2" borderId="9" xfId="2" applyNumberFormat="1" applyFont="1" applyFill="1" applyBorder="1" applyAlignment="1">
      <alignment horizontal="left" vertical="center"/>
    </xf>
    <xf numFmtId="0" fontId="0" fillId="2" borderId="3" xfId="2" applyNumberFormat="1" applyFont="1" applyFill="1" applyBorder="1" applyAlignment="1">
      <alignment horizontal="left" vertical="center"/>
    </xf>
    <xf numFmtId="0" fontId="4" fillId="2" borderId="17" xfId="2" applyNumberFormat="1" applyFont="1" applyFill="1" applyBorder="1" applyAlignment="1">
      <alignment horizontal="left" vertical="top" wrapText="1"/>
    </xf>
    <xf numFmtId="0" fontId="4" fillId="2" borderId="8" xfId="2" applyNumberFormat="1" applyFont="1" applyFill="1" applyBorder="1" applyAlignment="1">
      <alignment horizontal="center" vertical="center" wrapText="1"/>
    </xf>
    <xf numFmtId="0" fontId="4" fillId="2" borderId="168" xfId="2" applyNumberFormat="1" applyFont="1" applyFill="1" applyBorder="1" applyAlignment="1">
      <alignment horizontal="center" vertical="center" wrapText="1"/>
    </xf>
    <xf numFmtId="0" fontId="4" fillId="2" borderId="169" xfId="2" applyNumberFormat="1" applyFont="1" applyFill="1" applyBorder="1" applyAlignment="1">
      <alignment horizontal="center" vertical="center" wrapText="1"/>
    </xf>
    <xf numFmtId="0" fontId="4" fillId="2" borderId="87" xfId="2" applyNumberFormat="1" applyFont="1" applyFill="1" applyBorder="1" applyAlignment="1">
      <alignment horizontal="left" vertical="top" wrapText="1"/>
    </xf>
    <xf numFmtId="0" fontId="17" fillId="2" borderId="0" xfId="2" applyNumberFormat="1" applyFont="1" applyFill="1" applyBorder="1" applyAlignment="1">
      <alignment horizontal="left" vertical="center"/>
    </xf>
    <xf numFmtId="0" fontId="5" fillId="2" borderId="0" xfId="2" applyNumberFormat="1" applyFont="1" applyFill="1" applyBorder="1" applyAlignment="1">
      <alignment horizontal="left" vertical="center" wrapText="1"/>
    </xf>
    <xf numFmtId="0" fontId="5" fillId="5" borderId="158" xfId="2" applyNumberFormat="1" applyFont="1" applyFill="1" applyBorder="1" applyAlignment="1">
      <alignment horizontal="center" vertical="center" wrapText="1"/>
    </xf>
    <xf numFmtId="0" fontId="4" fillId="4" borderId="96" xfId="2" applyNumberFormat="1" applyFont="1" applyFill="1" applyBorder="1" applyAlignment="1">
      <alignment horizontal="center" vertical="center" wrapText="1"/>
    </xf>
    <xf numFmtId="0" fontId="4" fillId="4" borderId="13" xfId="2" applyNumberFormat="1" applyFont="1" applyFill="1" applyBorder="1" applyAlignment="1">
      <alignment horizontal="center" vertical="center" wrapText="1"/>
    </xf>
    <xf numFmtId="0" fontId="5" fillId="2" borderId="18" xfId="2" applyNumberFormat="1" applyFont="1" applyFill="1" applyBorder="1" applyAlignment="1">
      <alignment horizontal="left" vertical="top"/>
    </xf>
    <xf numFmtId="0" fontId="16" fillId="2" borderId="0" xfId="2" applyNumberFormat="1" applyFont="1" applyFill="1" applyBorder="1" applyAlignment="1">
      <alignment horizontal="left" vertical="top"/>
    </xf>
    <xf numFmtId="0" fontId="16" fillId="2" borderId="116" xfId="2" applyNumberFormat="1" applyFont="1" applyFill="1" applyBorder="1" applyAlignment="1">
      <alignment horizontal="left" vertical="top"/>
    </xf>
    <xf numFmtId="0" fontId="4" fillId="5" borderId="158" xfId="2" applyNumberFormat="1" applyFont="1" applyFill="1" applyBorder="1" applyAlignment="1">
      <alignment horizontal="center" vertical="top" wrapText="1"/>
    </xf>
    <xf numFmtId="0" fontId="4" fillId="5" borderId="1" xfId="2" applyNumberFormat="1" applyFont="1" applyFill="1" applyBorder="1" applyAlignment="1">
      <alignment horizontal="center" vertical="top" wrapText="1"/>
    </xf>
    <xf numFmtId="181" fontId="5" fillId="5" borderId="58" xfId="1" applyNumberFormat="1" applyFont="1" applyFill="1" applyBorder="1" applyAlignment="1">
      <alignment horizontal="center" vertical="top" wrapText="1"/>
    </xf>
    <xf numFmtId="181" fontId="5" fillId="5" borderId="27" xfId="1" applyNumberFormat="1" applyFont="1" applyFill="1" applyBorder="1" applyAlignment="1">
      <alignment horizontal="center" vertical="top" wrapText="1"/>
    </xf>
    <xf numFmtId="177" fontId="5" fillId="5" borderId="131" xfId="1" applyNumberFormat="1" applyFont="1" applyFill="1" applyBorder="1" applyAlignment="1">
      <alignment horizontal="center" vertical="top" wrapText="1"/>
    </xf>
    <xf numFmtId="177" fontId="5" fillId="5" borderId="28" xfId="1" applyNumberFormat="1" applyFont="1" applyFill="1" applyBorder="1" applyAlignment="1">
      <alignment horizontal="center" vertical="top" wrapText="1"/>
    </xf>
    <xf numFmtId="0" fontId="4" fillId="2" borderId="152" xfId="2" applyNumberFormat="1" applyFont="1" applyFill="1" applyBorder="1" applyAlignment="1">
      <alignment horizontal="center" vertical="top" wrapText="1"/>
    </xf>
    <xf numFmtId="0" fontId="4" fillId="2" borderId="166" xfId="2" applyNumberFormat="1" applyFont="1" applyFill="1" applyBorder="1" applyAlignment="1">
      <alignment horizontal="center" vertical="top" wrapText="1"/>
    </xf>
    <xf numFmtId="0" fontId="4" fillId="2" borderId="29" xfId="2" applyNumberFormat="1" applyFont="1" applyFill="1" applyBorder="1" applyAlignment="1">
      <alignment horizontal="left" vertical="top" wrapText="1"/>
    </xf>
    <xf numFmtId="0" fontId="4" fillId="2" borderId="23" xfId="2" applyNumberFormat="1" applyFont="1" applyFill="1" applyBorder="1" applyAlignment="1">
      <alignment horizontal="center" vertical="top" wrapText="1"/>
    </xf>
    <xf numFmtId="0" fontId="4" fillId="4" borderId="32" xfId="2" applyNumberFormat="1" applyFont="1" applyFill="1" applyBorder="1" applyAlignment="1">
      <alignment horizontal="center" vertical="center" wrapText="1"/>
    </xf>
    <xf numFmtId="0" fontId="5" fillId="2" borderId="18" xfId="2" applyNumberFormat="1" applyFont="1" applyFill="1" applyBorder="1" applyAlignment="1">
      <alignment horizontal="left" vertical="center"/>
    </xf>
    <xf numFmtId="0" fontId="16" fillId="2" borderId="0" xfId="2" applyNumberFormat="1" applyFont="1" applyFill="1" applyBorder="1" applyAlignment="1">
      <alignment horizontal="left" vertical="center"/>
    </xf>
    <xf numFmtId="0" fontId="16" fillId="2" borderId="116" xfId="2" applyNumberFormat="1" applyFont="1" applyFill="1" applyBorder="1" applyAlignment="1">
      <alignment horizontal="left" vertical="center"/>
    </xf>
    <xf numFmtId="0" fontId="4" fillId="2" borderId="68" xfId="2" applyNumberFormat="1" applyFont="1" applyFill="1" applyBorder="1" applyAlignment="1">
      <alignment horizontal="center" vertical="top" wrapText="1"/>
    </xf>
    <xf numFmtId="0" fontId="4" fillId="2" borderId="158" xfId="2" applyNumberFormat="1" applyFont="1" applyFill="1" applyBorder="1" applyAlignment="1">
      <alignment horizontal="left" vertical="top" wrapText="1"/>
    </xf>
    <xf numFmtId="0" fontId="0" fillId="2" borderId="1" xfId="2" applyNumberFormat="1" applyFont="1" applyFill="1" applyBorder="1" applyAlignment="1">
      <alignment horizontal="left" vertical="top"/>
    </xf>
    <xf numFmtId="0" fontId="0" fillId="2" borderId="3" xfId="2" applyNumberFormat="1" applyFont="1" applyFill="1" applyBorder="1" applyAlignment="1">
      <alignment horizontal="left" vertical="top"/>
    </xf>
    <xf numFmtId="0" fontId="4" fillId="2" borderId="91" xfId="2" applyNumberFormat="1" applyFont="1" applyFill="1" applyBorder="1" applyAlignment="1">
      <alignment horizontal="center" vertical="top" wrapText="1"/>
    </xf>
    <xf numFmtId="0" fontId="4" fillId="2" borderId="18" xfId="2" applyNumberFormat="1" applyFont="1" applyFill="1" applyBorder="1" applyAlignment="1">
      <alignment horizontal="center" vertical="top" wrapText="1"/>
    </xf>
    <xf numFmtId="0" fontId="4" fillId="2" borderId="26" xfId="2" applyNumberFormat="1" applyFont="1" applyFill="1" applyBorder="1" applyAlignment="1">
      <alignment horizontal="center" vertical="top" wrapText="1"/>
    </xf>
    <xf numFmtId="0" fontId="4" fillId="2" borderId="141" xfId="2" applyNumberFormat="1" applyFont="1" applyFill="1" applyBorder="1" applyAlignment="1">
      <alignment horizontal="center" vertical="top" wrapText="1"/>
    </xf>
    <xf numFmtId="0" fontId="4" fillId="2" borderId="72" xfId="2" applyNumberFormat="1" applyFont="1" applyFill="1" applyBorder="1" applyAlignment="1">
      <alignment vertical="top" wrapText="1"/>
    </xf>
    <xf numFmtId="0" fontId="17" fillId="2" borderId="91" xfId="2" applyNumberFormat="1" applyFont="1" applyFill="1" applyBorder="1" applyAlignment="1">
      <alignment horizontal="left" vertical="center"/>
    </xf>
    <xf numFmtId="0" fontId="17" fillId="2" borderId="66" xfId="2" applyNumberFormat="1" applyFont="1" applyFill="1" applyBorder="1" applyAlignment="1">
      <alignment horizontal="left" vertical="center"/>
    </xf>
    <xf numFmtId="0" fontId="17" fillId="2" borderId="67" xfId="2" applyNumberFormat="1" applyFont="1" applyFill="1" applyBorder="1" applyAlignment="1">
      <alignment horizontal="left" vertical="center"/>
    </xf>
    <xf numFmtId="0" fontId="14" fillId="2" borderId="18" xfId="2" applyNumberFormat="1" applyFont="1" applyFill="1" applyBorder="1" applyAlignment="1">
      <alignment horizontal="center" vertical="center"/>
    </xf>
    <xf numFmtId="0" fontId="14" fillId="2" borderId="116" xfId="2" applyNumberFormat="1" applyFont="1" applyFill="1" applyBorder="1" applyAlignment="1">
      <alignment horizontal="center" vertical="center"/>
    </xf>
    <xf numFmtId="0" fontId="5" fillId="2" borderId="18" xfId="2" applyNumberFormat="1" applyFont="1" applyFill="1" applyBorder="1" applyAlignment="1">
      <alignment horizontal="left" vertical="center" wrapText="1"/>
    </xf>
    <xf numFmtId="0" fontId="5" fillId="2" borderId="116" xfId="2" applyNumberFormat="1" applyFont="1" applyFill="1" applyBorder="1" applyAlignment="1">
      <alignment horizontal="left" vertical="center" wrapText="1"/>
    </xf>
    <xf numFmtId="0" fontId="9" fillId="2" borderId="114" xfId="2" applyNumberFormat="1" applyFont="1" applyFill="1" applyBorder="1" applyAlignment="1">
      <alignment horizontal="left" vertical="center"/>
    </xf>
    <xf numFmtId="0" fontId="9" fillId="2" borderId="65" xfId="2" applyNumberFormat="1" applyFont="1" applyFill="1" applyBorder="1" applyAlignment="1">
      <alignment horizontal="left" vertical="center"/>
    </xf>
    <xf numFmtId="177" fontId="5" fillId="5" borderId="45" xfId="1" applyNumberFormat="1" applyFont="1" applyFill="1" applyBorder="1" applyAlignment="1">
      <alignment horizontal="center" vertical="center" wrapText="1"/>
    </xf>
    <xf numFmtId="41" fontId="5" fillId="5" borderId="58" xfId="8" applyNumberFormat="1" applyFont="1" applyFill="1" applyBorder="1" applyAlignment="1">
      <alignment horizontal="center" vertical="center" wrapText="1"/>
    </xf>
    <xf numFmtId="41" fontId="5" fillId="5" borderId="27" xfId="8" applyNumberFormat="1" applyFont="1" applyFill="1" applyBorder="1" applyAlignment="1">
      <alignment horizontal="center" vertical="center" wrapText="1"/>
    </xf>
    <xf numFmtId="177" fontId="5" fillId="5" borderId="58" xfId="8" applyNumberFormat="1" applyFont="1" applyFill="1" applyBorder="1" applyAlignment="1">
      <alignment horizontal="center" vertical="center" wrapText="1"/>
    </xf>
    <xf numFmtId="177" fontId="5" fillId="5" borderId="27" xfId="8" applyNumberFormat="1" applyFont="1" applyFill="1" applyBorder="1" applyAlignment="1">
      <alignment horizontal="center" vertical="center" wrapText="1"/>
    </xf>
    <xf numFmtId="0" fontId="0" fillId="2" borderId="66" xfId="2" applyNumberFormat="1" applyFont="1" applyFill="1" applyBorder="1" applyAlignment="1">
      <alignment horizontal="left" vertical="top" wrapText="1"/>
    </xf>
    <xf numFmtId="177" fontId="5" fillId="5" borderId="67" xfId="8" applyNumberFormat="1" applyFont="1" applyFill="1" applyBorder="1" applyAlignment="1">
      <alignment horizontal="center" vertical="center" wrapText="1"/>
    </xf>
    <xf numFmtId="177" fontId="5" fillId="5" borderId="65" xfId="8" applyNumberFormat="1" applyFont="1" applyFill="1" applyBorder="1" applyAlignment="1">
      <alignment horizontal="center" vertical="center" wrapText="1"/>
    </xf>
    <xf numFmtId="0" fontId="4" fillId="2" borderId="167" xfId="2" applyNumberFormat="1" applyFont="1" applyFill="1" applyBorder="1" applyAlignment="1">
      <alignment horizontal="left" vertical="top" wrapText="1"/>
    </xf>
    <xf numFmtId="0" fontId="4" fillId="2" borderId="60" xfId="2" applyNumberFormat="1" applyFont="1" applyFill="1" applyBorder="1" applyAlignment="1">
      <alignment horizontal="left" vertical="top" wrapText="1"/>
    </xf>
    <xf numFmtId="0" fontId="4" fillId="2" borderId="1" xfId="2" applyNumberFormat="1" applyFont="1" applyFill="1" applyBorder="1" applyAlignment="1">
      <alignment horizontal="left" vertical="top" wrapText="1"/>
    </xf>
    <xf numFmtId="0" fontId="4" fillId="2" borderId="3" xfId="2" applyNumberFormat="1" applyFont="1" applyFill="1" applyBorder="1" applyAlignment="1">
      <alignment horizontal="left" vertical="top" wrapText="1"/>
    </xf>
    <xf numFmtId="0" fontId="4" fillId="4" borderId="114" xfId="2" applyNumberFormat="1" applyFont="1" applyFill="1" applyBorder="1" applyAlignment="1">
      <alignment horizontal="center" vertical="center" wrapText="1"/>
    </xf>
    <xf numFmtId="0" fontId="4" fillId="4" borderId="60" xfId="2" applyNumberFormat="1" applyFont="1" applyFill="1" applyBorder="1" applyAlignment="1">
      <alignment horizontal="center" vertical="center" wrapText="1"/>
    </xf>
    <xf numFmtId="0" fontId="16" fillId="2" borderId="157" xfId="2" applyNumberFormat="1" applyFont="1" applyFill="1" applyBorder="1" applyAlignment="1">
      <alignment horizontal="left" vertical="center"/>
    </xf>
    <xf numFmtId="0" fontId="4" fillId="5" borderId="2" xfId="2" applyNumberFormat="1" applyFont="1" applyFill="1" applyBorder="1" applyAlignment="1">
      <alignment horizontal="center" vertical="center" wrapText="1"/>
    </xf>
    <xf numFmtId="41" fontId="5" fillId="5" borderId="167" xfId="8" applyNumberFormat="1" applyFont="1" applyFill="1" applyBorder="1" applyAlignment="1">
      <alignment horizontal="center" vertical="center" wrapText="1"/>
    </xf>
    <xf numFmtId="41" fontId="5" fillId="5" borderId="60" xfId="8" applyNumberFormat="1" applyFont="1" applyFill="1" applyBorder="1" applyAlignment="1">
      <alignment horizontal="center" vertical="center" wrapText="1"/>
    </xf>
    <xf numFmtId="177" fontId="5" fillId="5" borderId="131" xfId="8" applyNumberFormat="1" applyFont="1" applyFill="1" applyBorder="1" applyAlignment="1">
      <alignment horizontal="center" vertical="center" wrapText="1"/>
    </xf>
    <xf numFmtId="177" fontId="5" fillId="5" borderId="28" xfId="8" applyNumberFormat="1" applyFont="1" applyFill="1" applyBorder="1" applyAlignment="1">
      <alignment horizontal="center" vertical="center" wrapText="1"/>
    </xf>
    <xf numFmtId="0" fontId="4" fillId="0" borderId="52" xfId="2" applyNumberFormat="1" applyFont="1" applyFill="1" applyBorder="1" applyAlignment="1">
      <alignment horizontal="left" vertical="top" wrapText="1"/>
    </xf>
    <xf numFmtId="0" fontId="5" fillId="2" borderId="0" xfId="2" applyNumberFormat="1" applyFont="1" applyFill="1" applyAlignment="1">
      <alignment horizontal="left" vertical="center" wrapText="1"/>
    </xf>
    <xf numFmtId="0" fontId="4" fillId="2" borderId="91" xfId="0" applyNumberFormat="1" applyFont="1" applyFill="1" applyBorder="1" applyAlignment="1">
      <alignment horizontal="left" vertical="top"/>
    </xf>
    <xf numFmtId="0" fontId="4" fillId="2" borderId="114" xfId="0" applyNumberFormat="1" applyFont="1" applyFill="1" applyBorder="1" applyAlignment="1">
      <alignment horizontal="left" vertical="top"/>
    </xf>
    <xf numFmtId="0" fontId="0" fillId="0" borderId="0" xfId="0" applyNumberFormat="1" applyFont="1" applyBorder="1" applyAlignment="1">
      <alignment horizontal="center" vertical="center"/>
    </xf>
    <xf numFmtId="9" fontId="5" fillId="5" borderId="58" xfId="1" applyNumberFormat="1" applyFont="1" applyFill="1" applyBorder="1" applyAlignment="1">
      <alignment horizontal="center" vertical="center" wrapText="1"/>
    </xf>
    <xf numFmtId="9" fontId="5" fillId="5" borderId="27" xfId="1" applyNumberFormat="1" applyFont="1" applyFill="1" applyBorder="1" applyAlignment="1">
      <alignment horizontal="center" vertical="center" wrapText="1"/>
    </xf>
    <xf numFmtId="0" fontId="4" fillId="2" borderId="141" xfId="0" applyNumberFormat="1" applyFont="1" applyFill="1" applyBorder="1" applyAlignment="1">
      <alignment horizontal="center" vertical="top" wrapText="1"/>
    </xf>
    <xf numFmtId="0" fontId="4" fillId="2" borderId="146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Border="1" applyAlignment="1">
      <alignment horizontal="center" vertical="center" wrapText="1"/>
    </xf>
    <xf numFmtId="0" fontId="4" fillId="0" borderId="115" xfId="0" applyNumberFormat="1" applyFont="1" applyBorder="1" applyAlignment="1">
      <alignment horizontal="left" vertical="center"/>
    </xf>
    <xf numFmtId="41" fontId="5" fillId="5" borderId="167" xfId="1" applyNumberFormat="1" applyFont="1" applyFill="1" applyBorder="1" applyAlignment="1">
      <alignment horizontal="center" vertical="center" wrapText="1"/>
    </xf>
    <xf numFmtId="41" fontId="5" fillId="5" borderId="60" xfId="1" applyNumberFormat="1" applyFont="1" applyFill="1" applyBorder="1" applyAlignment="1">
      <alignment horizontal="center" vertical="center" wrapText="1"/>
    </xf>
    <xf numFmtId="0" fontId="4" fillId="2" borderId="73" xfId="0" applyNumberFormat="1" applyFont="1" applyFill="1" applyBorder="1" applyAlignment="1">
      <alignment horizontal="center" vertical="top"/>
    </xf>
    <xf numFmtId="0" fontId="4" fillId="2" borderId="20" xfId="0" applyNumberFormat="1" applyFont="1" applyFill="1" applyBorder="1" applyAlignment="1">
      <alignment horizontal="center" vertical="top"/>
    </xf>
    <xf numFmtId="0" fontId="4" fillId="2" borderId="118" xfId="0" applyNumberFormat="1" applyFont="1" applyFill="1" applyBorder="1" applyAlignment="1">
      <alignment horizontal="center" vertical="top"/>
    </xf>
    <xf numFmtId="0" fontId="4" fillId="2" borderId="60" xfId="0" applyNumberFormat="1" applyFont="1" applyFill="1" applyBorder="1" applyAlignment="1">
      <alignment horizontal="center" vertical="top"/>
    </xf>
    <xf numFmtId="0" fontId="0" fillId="2" borderId="9" xfId="0" applyNumberFormat="1" applyFont="1" applyFill="1" applyBorder="1" applyAlignment="1">
      <alignment horizontal="left" vertical="top"/>
    </xf>
    <xf numFmtId="0" fontId="4" fillId="0" borderId="18" xfId="0" applyNumberFormat="1" applyFont="1" applyBorder="1" applyAlignment="1">
      <alignment horizontal="left" vertical="center"/>
    </xf>
    <xf numFmtId="0" fontId="4" fillId="0" borderId="116" xfId="0" applyNumberFormat="1" applyFont="1" applyBorder="1" applyAlignment="1">
      <alignment horizontal="left" vertical="center"/>
    </xf>
    <xf numFmtId="0" fontId="4" fillId="2" borderId="26" xfId="0" applyNumberFormat="1" applyFont="1" applyFill="1" applyBorder="1" applyAlignment="1">
      <alignment horizontal="left" vertical="top" wrapText="1"/>
    </xf>
    <xf numFmtId="0" fontId="4" fillId="4" borderId="32" xfId="0" applyNumberFormat="1" applyFont="1" applyFill="1" applyBorder="1" applyAlignment="1">
      <alignment horizontal="center" vertical="center"/>
    </xf>
    <xf numFmtId="0" fontId="4" fillId="4" borderId="95" xfId="0" applyNumberFormat="1" applyFont="1" applyFill="1" applyBorder="1" applyAlignment="1">
      <alignment horizontal="center" vertical="center"/>
    </xf>
    <xf numFmtId="0" fontId="4" fillId="4" borderId="31" xfId="0" applyNumberFormat="1" applyFont="1" applyFill="1" applyBorder="1" applyAlignment="1">
      <alignment horizontal="center" vertical="center"/>
    </xf>
    <xf numFmtId="0" fontId="4" fillId="2" borderId="141" xfId="0" applyNumberFormat="1" applyFont="1" applyFill="1" applyBorder="1" applyAlignment="1">
      <alignment horizontal="center" vertical="top"/>
    </xf>
    <xf numFmtId="0" fontId="4" fillId="2" borderId="146" xfId="0" applyNumberFormat="1" applyFont="1" applyFill="1" applyBorder="1" applyAlignment="1">
      <alignment horizontal="center" vertical="top"/>
    </xf>
    <xf numFmtId="0" fontId="4" fillId="2" borderId="158" xfId="0" applyNumberFormat="1" applyFont="1" applyFill="1" applyBorder="1" applyAlignment="1">
      <alignment vertical="top" wrapText="1"/>
    </xf>
    <xf numFmtId="0" fontId="4" fillId="2" borderId="117" xfId="0" applyNumberFormat="1" applyFont="1" applyFill="1" applyBorder="1" applyAlignment="1">
      <alignment vertical="top" wrapText="1"/>
    </xf>
    <xf numFmtId="0" fontId="4" fillId="2" borderId="97" xfId="0" applyNumberFormat="1" applyFont="1" applyFill="1" applyBorder="1" applyAlignment="1">
      <alignment vertical="top" wrapText="1"/>
    </xf>
    <xf numFmtId="0" fontId="4" fillId="2" borderId="17" xfId="0" applyNumberFormat="1" applyFont="1" applyFill="1" applyBorder="1" applyAlignment="1">
      <alignment vertical="top" wrapText="1"/>
    </xf>
    <xf numFmtId="0" fontId="4" fillId="2" borderId="18" xfId="0" applyNumberFormat="1" applyFont="1" applyFill="1" applyBorder="1" applyAlignment="1">
      <alignment vertical="top" wrapText="1"/>
    </xf>
    <xf numFmtId="0" fontId="4" fillId="2" borderId="26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0" fontId="4" fillId="2" borderId="73" xfId="0" applyNumberFormat="1" applyFont="1" applyFill="1" applyBorder="1" applyAlignment="1">
      <alignment vertical="top"/>
    </xf>
    <xf numFmtId="0" fontId="4" fillId="2" borderId="20" xfId="0" applyNumberFormat="1" applyFont="1" applyFill="1" applyBorder="1" applyAlignment="1">
      <alignment vertical="top"/>
    </xf>
    <xf numFmtId="0" fontId="4" fillId="2" borderId="52" xfId="0" applyNumberFormat="1" applyFont="1" applyFill="1" applyBorder="1" applyAlignment="1">
      <alignment vertical="top"/>
    </xf>
    <xf numFmtId="0" fontId="4" fillId="2" borderId="87" xfId="0" applyNumberFormat="1" applyFont="1" applyFill="1" applyBorder="1" applyAlignment="1">
      <alignment vertical="top"/>
    </xf>
    <xf numFmtId="0" fontId="4" fillId="2" borderId="161" xfId="0" applyNumberFormat="1" applyFont="1" applyFill="1" applyBorder="1" applyAlignment="1">
      <alignment vertical="top"/>
    </xf>
    <xf numFmtId="0" fontId="4" fillId="2" borderId="29" xfId="0" applyNumberFormat="1" applyFont="1" applyFill="1" applyBorder="1" applyAlignment="1">
      <alignment horizontal="left" vertical="top" wrapText="1"/>
    </xf>
    <xf numFmtId="0" fontId="4" fillId="2" borderId="158" xfId="0" applyNumberFormat="1" applyFont="1" applyFill="1" applyBorder="1" applyAlignment="1">
      <alignment horizontal="left" vertical="top"/>
    </xf>
    <xf numFmtId="0" fontId="4" fillId="2" borderId="117" xfId="0" applyNumberFormat="1" applyFont="1" applyFill="1" applyBorder="1" applyAlignment="1">
      <alignment horizontal="left" vertical="top"/>
    </xf>
    <xf numFmtId="0" fontId="4" fillId="2" borderId="97" xfId="0" applyNumberFormat="1" applyFont="1" applyFill="1" applyBorder="1" applyAlignment="1">
      <alignment horizontal="left" vertical="top"/>
    </xf>
    <xf numFmtId="0" fontId="4" fillId="2" borderId="17" xfId="0" applyNumberFormat="1" applyFont="1" applyFill="1" applyBorder="1" applyAlignment="1">
      <alignment horizontal="left" vertical="top"/>
    </xf>
    <xf numFmtId="0" fontId="16" fillId="0" borderId="0" xfId="0" applyNumberFormat="1" applyFont="1" applyBorder="1" applyAlignment="1">
      <alignment horizontal="center" vertical="center"/>
    </xf>
    <xf numFmtId="176" fontId="4" fillId="0" borderId="52" xfId="2" applyNumberFormat="1" applyFont="1" applyFill="1" applyBorder="1" applyAlignment="1">
      <alignment horizontal="left" vertical="top" wrapText="1"/>
    </xf>
    <xf numFmtId="176" fontId="4" fillId="0" borderId="161" xfId="2" applyNumberFormat="1" applyFont="1" applyFill="1" applyBorder="1" applyAlignment="1">
      <alignment horizontal="left" vertical="top" wrapText="1"/>
    </xf>
    <xf numFmtId="176" fontId="0" fillId="0" borderId="30" xfId="2" applyNumberFormat="1" applyFont="1" applyFill="1" applyBorder="1" applyAlignment="1">
      <alignment horizontal="left" vertical="top"/>
    </xf>
    <xf numFmtId="176" fontId="0" fillId="0" borderId="9" xfId="2" applyNumberFormat="1" applyFont="1" applyFill="1" applyBorder="1" applyAlignment="1">
      <alignment horizontal="left" vertical="top"/>
    </xf>
    <xf numFmtId="176" fontId="0" fillId="0" borderId="30" xfId="2" applyNumberFormat="1" applyFont="1" applyFill="1" applyBorder="1" applyAlignment="1">
      <alignment horizontal="left" vertical="top" wrapText="1"/>
    </xf>
    <xf numFmtId="176" fontId="0" fillId="0" borderId="49" xfId="2" applyNumberFormat="1" applyFont="1" applyFill="1" applyBorder="1" applyAlignment="1">
      <alignment horizontal="left" vertical="top" wrapText="1"/>
    </xf>
    <xf numFmtId="176" fontId="0" fillId="0" borderId="9" xfId="2" applyNumberFormat="1" applyFont="1" applyFill="1" applyBorder="1" applyAlignment="1">
      <alignment horizontal="left" vertical="top" wrapText="1"/>
    </xf>
    <xf numFmtId="176" fontId="4" fillId="0" borderId="8" xfId="2" applyNumberFormat="1" applyFont="1" applyFill="1" applyBorder="1" applyAlignment="1">
      <alignment horizontal="center" vertical="top" wrapText="1"/>
    </xf>
    <xf numFmtId="176" fontId="4" fillId="0" borderId="117" xfId="2" applyNumberFormat="1" applyFont="1" applyFill="1" applyBorder="1" applyAlignment="1">
      <alignment horizontal="left" vertical="top" wrapText="1"/>
    </xf>
    <xf numFmtId="176" fontId="4" fillId="0" borderId="97" xfId="2" applyNumberFormat="1" applyFont="1" applyFill="1" applyBorder="1" applyAlignment="1">
      <alignment horizontal="left" vertical="top" wrapText="1"/>
    </xf>
    <xf numFmtId="176" fontId="4" fillId="0" borderId="17" xfId="2" applyNumberFormat="1" applyFont="1" applyFill="1" applyBorder="1" applyAlignment="1">
      <alignment horizontal="left" vertical="top" wrapText="1"/>
    </xf>
    <xf numFmtId="176" fontId="4" fillId="0" borderId="29" xfId="2" applyNumberFormat="1" applyFont="1" applyFill="1" applyBorder="1" applyAlignment="1">
      <alignment horizontal="left" vertical="top" wrapText="1"/>
    </xf>
    <xf numFmtId="176" fontId="0" fillId="0" borderId="3" xfId="2" applyNumberFormat="1" applyFont="1" applyFill="1" applyBorder="1" applyAlignment="1">
      <alignment horizontal="left" vertical="top" wrapText="1"/>
    </xf>
    <xf numFmtId="176" fontId="4" fillId="0" borderId="152" xfId="2" applyNumberFormat="1" applyFont="1" applyFill="1" applyBorder="1" applyAlignment="1">
      <alignment horizontal="center" vertical="top" wrapText="1"/>
    </xf>
    <xf numFmtId="176" fontId="4" fillId="0" borderId="166" xfId="2" applyNumberFormat="1" applyFont="1" applyFill="1" applyBorder="1" applyAlignment="1">
      <alignment horizontal="center" vertical="top" wrapText="1"/>
    </xf>
    <xf numFmtId="176" fontId="4" fillId="0" borderId="118" xfId="2" applyNumberFormat="1" applyFont="1" applyFill="1" applyBorder="1" applyAlignment="1">
      <alignment horizontal="center" vertical="top" wrapText="1"/>
    </xf>
    <xf numFmtId="176" fontId="4" fillId="0" borderId="60" xfId="2" applyNumberFormat="1" applyFont="1" applyFill="1" applyBorder="1" applyAlignment="1">
      <alignment horizontal="center" vertical="top" wrapText="1"/>
    </xf>
    <xf numFmtId="176" fontId="4" fillId="0" borderId="87" xfId="2" applyNumberFormat="1" applyFont="1" applyFill="1" applyBorder="1" applyAlignment="1">
      <alignment horizontal="left" vertical="top" wrapText="1"/>
    </xf>
    <xf numFmtId="176" fontId="4" fillId="5" borderId="96" xfId="2" applyNumberFormat="1" applyFont="1" applyFill="1" applyBorder="1" applyAlignment="1">
      <alignment horizontal="center" vertical="center" wrapText="1"/>
    </xf>
    <xf numFmtId="176" fontId="4" fillId="5" borderId="13" xfId="2" applyNumberFormat="1" applyFont="1" applyFill="1" applyBorder="1" applyAlignment="1">
      <alignment horizontal="center" vertical="center" wrapText="1"/>
    </xf>
    <xf numFmtId="176" fontId="4" fillId="2" borderId="114" xfId="2" applyNumberFormat="1" applyFont="1" applyFill="1" applyBorder="1" applyAlignment="1">
      <alignment horizontal="left" vertical="center"/>
    </xf>
    <xf numFmtId="176" fontId="19" fillId="2" borderId="115" xfId="2" applyNumberFormat="1" applyFont="1" applyFill="1" applyBorder="1" applyAlignment="1">
      <alignment horizontal="left" vertical="center"/>
    </xf>
    <xf numFmtId="176" fontId="19" fillId="2" borderId="65" xfId="2" applyNumberFormat="1" applyFont="1" applyFill="1" applyBorder="1" applyAlignment="1">
      <alignment horizontal="left" vertical="center"/>
    </xf>
    <xf numFmtId="176" fontId="4" fillId="5" borderId="158" xfId="2" applyNumberFormat="1" applyFont="1" applyFill="1" applyBorder="1" applyAlignment="1">
      <alignment horizontal="center" vertical="center" wrapText="1"/>
    </xf>
    <xf numFmtId="176" fontId="4" fillId="5" borderId="1" xfId="2" applyNumberFormat="1" applyFont="1" applyFill="1" applyBorder="1" applyAlignment="1">
      <alignment horizontal="center" vertical="center" wrapText="1"/>
    </xf>
    <xf numFmtId="0" fontId="18" fillId="0" borderId="0" xfId="2" applyNumberFormat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horizontal="center" vertical="center"/>
    </xf>
    <xf numFmtId="0" fontId="5" fillId="0" borderId="115" xfId="2" applyNumberFormat="1" applyFont="1" applyFill="1" applyBorder="1" applyAlignment="1">
      <alignment horizontal="left" vertical="center"/>
    </xf>
    <xf numFmtId="9" fontId="5" fillId="5" borderId="30" xfId="1" applyNumberFormat="1" applyFont="1" applyFill="1" applyBorder="1" applyAlignment="1">
      <alignment horizontal="center" vertical="center" wrapText="1"/>
    </xf>
    <xf numFmtId="181" fontId="14" fillId="0" borderId="0" xfId="7" applyNumberFormat="1" applyFont="1" applyBorder="1" applyAlignment="1">
      <alignment horizontal="center" vertical="center" wrapText="1"/>
    </xf>
    <xf numFmtId="181" fontId="16" fillId="0" borderId="0" xfId="7" applyNumberFormat="1" applyFont="1" applyBorder="1" applyAlignment="1">
      <alignment horizontal="center" vertical="center"/>
    </xf>
    <xf numFmtId="181" fontId="5" fillId="2" borderId="0" xfId="2" applyNumberFormat="1" applyFont="1" applyFill="1" applyBorder="1" applyAlignment="1">
      <alignment horizontal="left" vertical="center" wrapText="1"/>
    </xf>
    <xf numFmtId="181" fontId="4" fillId="0" borderId="115" xfId="7" applyNumberFormat="1" applyFont="1" applyBorder="1" applyAlignment="1">
      <alignment horizontal="left" vertical="center"/>
    </xf>
    <xf numFmtId="181" fontId="4" fillId="5" borderId="162" xfId="7" applyNumberFormat="1" applyFont="1" applyFill="1" applyBorder="1" applyAlignment="1">
      <alignment horizontal="center" vertical="center"/>
    </xf>
    <xf numFmtId="181" fontId="4" fillId="5" borderId="124" xfId="7" applyNumberFormat="1" applyFont="1" applyFill="1" applyBorder="1" applyAlignment="1">
      <alignment horizontal="center" vertical="center"/>
    </xf>
    <xf numFmtId="181" fontId="5" fillId="5" borderId="58" xfId="8" applyNumberFormat="1" applyFont="1" applyFill="1" applyBorder="1" applyAlignment="1">
      <alignment horizontal="center" vertical="center" wrapText="1"/>
    </xf>
    <xf numFmtId="181" fontId="5" fillId="5" borderId="27" xfId="8" applyNumberFormat="1" applyFont="1" applyFill="1" applyBorder="1" applyAlignment="1">
      <alignment horizontal="center" vertical="center" wrapText="1"/>
    </xf>
    <xf numFmtId="181" fontId="5" fillId="5" borderId="1" xfId="8" applyNumberFormat="1" applyFont="1" applyFill="1" applyBorder="1" applyAlignment="1">
      <alignment horizontal="center" vertical="center" wrapText="1"/>
    </xf>
    <xf numFmtId="181" fontId="5" fillId="5" borderId="8" xfId="8" applyNumberFormat="1" applyFont="1" applyFill="1" applyBorder="1" applyAlignment="1">
      <alignment horizontal="center" vertical="center" wrapText="1"/>
    </xf>
    <xf numFmtId="181" fontId="5" fillId="5" borderId="2" xfId="8" applyNumberFormat="1" applyFont="1" applyFill="1" applyBorder="1" applyAlignment="1">
      <alignment horizontal="center" vertical="center" wrapText="1"/>
    </xf>
    <xf numFmtId="181" fontId="5" fillId="5" borderId="7" xfId="8" applyNumberFormat="1" applyFont="1" applyFill="1" applyBorder="1" applyAlignment="1">
      <alignment horizontal="center" vertical="center" wrapText="1"/>
    </xf>
    <xf numFmtId="181" fontId="4" fillId="2" borderId="87" xfId="7" applyNumberFormat="1" applyFont="1" applyFill="1" applyBorder="1" applyAlignment="1">
      <alignment horizontal="left" vertical="top" wrapText="1"/>
    </xf>
    <xf numFmtId="181" fontId="4" fillId="2" borderId="161" xfId="7" applyNumberFormat="1" applyFont="1" applyFill="1" applyBorder="1" applyAlignment="1">
      <alignment horizontal="left" vertical="top" wrapText="1"/>
    </xf>
    <xf numFmtId="181" fontId="2" fillId="2" borderId="49" xfId="7" applyNumberFormat="1" applyFont="1" applyFill="1" applyBorder="1" applyAlignment="1">
      <alignment horizontal="left" vertical="top" wrapText="1"/>
    </xf>
    <xf numFmtId="181" fontId="2" fillId="2" borderId="9" xfId="7" applyNumberFormat="1" applyFont="1" applyFill="1" applyBorder="1" applyAlignment="1">
      <alignment horizontal="left" vertical="top" wrapText="1"/>
    </xf>
    <xf numFmtId="181" fontId="4" fillId="2" borderId="8" xfId="7" applyNumberFormat="1" applyFont="1" applyFill="1" applyBorder="1" applyAlignment="1">
      <alignment horizontal="center" vertical="top" wrapText="1"/>
    </xf>
    <xf numFmtId="181" fontId="4" fillId="2" borderId="18" xfId="7" applyNumberFormat="1" applyFont="1" applyFill="1" applyBorder="1" applyAlignment="1">
      <alignment horizontal="left" vertical="top"/>
    </xf>
    <xf numFmtId="181" fontId="4" fillId="2" borderId="114" xfId="7" applyNumberFormat="1" applyFont="1" applyFill="1" applyBorder="1" applyAlignment="1">
      <alignment horizontal="left" vertical="top"/>
    </xf>
    <xf numFmtId="181" fontId="4" fillId="2" borderId="73" xfId="7" applyNumberFormat="1" applyFont="1" applyFill="1" applyBorder="1" applyAlignment="1">
      <alignment horizontal="center" vertical="top" wrapText="1"/>
    </xf>
    <xf numFmtId="181" fontId="4" fillId="2" borderId="115" xfId="7" applyNumberFormat="1" applyFont="1" applyFill="1" applyBorder="1" applyAlignment="1">
      <alignment horizontal="center" vertical="top" wrapText="1"/>
    </xf>
    <xf numFmtId="181" fontId="4" fillId="2" borderId="52" xfId="7" applyNumberFormat="1" applyFont="1" applyFill="1" applyBorder="1" applyAlignment="1">
      <alignment vertical="top" wrapText="1"/>
    </xf>
    <xf numFmtId="181" fontId="4" fillId="2" borderId="87" xfId="7" applyNumberFormat="1" applyFont="1" applyFill="1" applyBorder="1" applyAlignment="1">
      <alignment vertical="top" wrapText="1"/>
    </xf>
    <xf numFmtId="181" fontId="4" fillId="2" borderId="161" xfId="7" applyNumberFormat="1" applyFont="1" applyFill="1" applyBorder="1" applyAlignment="1">
      <alignment vertical="top" wrapText="1"/>
    </xf>
    <xf numFmtId="181" fontId="2" fillId="2" borderId="58" xfId="7" applyNumberFormat="1" applyFont="1" applyFill="1" applyBorder="1" applyAlignment="1">
      <alignment horizontal="left" vertical="top" wrapText="1"/>
    </xf>
    <xf numFmtId="181" fontId="4" fillId="2" borderId="62" xfId="7" applyNumberFormat="1" applyFont="1" applyFill="1" applyBorder="1" applyAlignment="1">
      <alignment horizontal="center" vertical="top" wrapText="1"/>
    </xf>
    <xf numFmtId="181" fontId="4" fillId="2" borderId="163" xfId="7" applyNumberFormat="1" applyFont="1" applyFill="1" applyBorder="1" applyAlignment="1">
      <alignment horizontal="center" vertical="top" wrapText="1"/>
    </xf>
    <xf numFmtId="181" fontId="4" fillId="2" borderId="117" xfId="7" applyNumberFormat="1" applyFont="1" applyFill="1" applyBorder="1" applyAlignment="1">
      <alignment horizontal="left" vertical="top" wrapText="1"/>
    </xf>
    <xf numFmtId="181" fontId="4" fillId="2" borderId="97" xfId="7" applyNumberFormat="1" applyFont="1" applyFill="1" applyBorder="1" applyAlignment="1">
      <alignment horizontal="left" vertical="top" wrapText="1"/>
    </xf>
    <xf numFmtId="181" fontId="4" fillId="2" borderId="17" xfId="7" applyNumberFormat="1" applyFont="1" applyFill="1" applyBorder="1" applyAlignment="1">
      <alignment horizontal="left" vertical="top" wrapText="1"/>
    </xf>
    <xf numFmtId="181" fontId="2" fillId="2" borderId="3" xfId="7" applyNumberFormat="1" applyFont="1" applyFill="1" applyBorder="1" applyAlignment="1">
      <alignment horizontal="left" vertical="top" wrapText="1"/>
    </xf>
    <xf numFmtId="181" fontId="4" fillId="2" borderId="52" xfId="7" applyNumberFormat="1" applyFont="1" applyFill="1" applyBorder="1" applyAlignment="1">
      <alignment horizontal="left" vertical="top" wrapText="1"/>
    </xf>
    <xf numFmtId="181" fontId="4" fillId="2" borderId="63" xfId="7" applyNumberFormat="1" applyFont="1" applyFill="1" applyBorder="1" applyAlignment="1">
      <alignment horizontal="center" vertical="top" wrapText="1"/>
    </xf>
    <xf numFmtId="181" fontId="4" fillId="2" borderId="87" xfId="7" applyNumberFormat="1" applyFont="1" applyFill="1" applyBorder="1" applyAlignment="1">
      <alignment horizontal="left" vertical="top"/>
    </xf>
    <xf numFmtId="181" fontId="4" fillId="2" borderId="161" xfId="7" applyNumberFormat="1" applyFont="1" applyFill="1" applyBorder="1" applyAlignment="1">
      <alignment horizontal="left" vertical="top"/>
    </xf>
    <xf numFmtId="181" fontId="4" fillId="2" borderId="52" xfId="7" applyNumberFormat="1" applyFont="1" applyFill="1" applyBorder="1" applyAlignment="1">
      <alignment horizontal="left" vertical="top"/>
    </xf>
    <xf numFmtId="181" fontId="4" fillId="2" borderId="62" xfId="7" applyNumberFormat="1" applyFont="1" applyFill="1" applyBorder="1" applyAlignment="1">
      <alignment horizontal="center" vertical="top"/>
    </xf>
    <xf numFmtId="181" fontId="4" fillId="2" borderId="63" xfId="7" applyNumberFormat="1" applyFont="1" applyFill="1" applyBorder="1" applyAlignment="1">
      <alignment horizontal="center" vertical="top"/>
    </xf>
    <xf numFmtId="181" fontId="4" fillId="2" borderId="158" xfId="7" applyNumberFormat="1" applyFont="1" applyFill="1" applyBorder="1" applyAlignment="1">
      <alignment horizontal="left" vertical="top"/>
    </xf>
    <xf numFmtId="181" fontId="4" fillId="2" borderId="97" xfId="7" applyNumberFormat="1" applyFont="1" applyFill="1" applyBorder="1" applyAlignment="1">
      <alignment horizontal="left" vertical="top"/>
    </xf>
    <xf numFmtId="181" fontId="4" fillId="2" borderId="17" xfId="7" applyNumberFormat="1" applyFont="1" applyFill="1" applyBorder="1" applyAlignment="1">
      <alignment horizontal="left" vertical="top"/>
    </xf>
    <xf numFmtId="181" fontId="2" fillId="2" borderId="1" xfId="7" applyNumberFormat="1" applyFont="1" applyFill="1" applyBorder="1" applyAlignment="1">
      <alignment horizontal="left" vertical="top" wrapText="1"/>
    </xf>
    <xf numFmtId="181" fontId="4" fillId="2" borderId="73" xfId="7" applyNumberFormat="1" applyFont="1" applyFill="1" applyBorder="1" applyAlignment="1">
      <alignment horizontal="center" vertical="top"/>
    </xf>
    <xf numFmtId="181" fontId="4" fillId="2" borderId="20" xfId="7" applyNumberFormat="1" applyFont="1" applyFill="1" applyBorder="1" applyAlignment="1">
      <alignment horizontal="center" vertical="top"/>
    </xf>
    <xf numFmtId="181" fontId="4" fillId="2" borderId="29" xfId="7" applyNumberFormat="1" applyFont="1" applyFill="1" applyBorder="1" applyAlignment="1">
      <alignment horizontal="left" vertical="top" wrapText="1"/>
    </xf>
    <xf numFmtId="181" fontId="4" fillId="2" borderId="30" xfId="7" applyNumberFormat="1" applyFont="1" applyFill="1" applyBorder="1" applyAlignment="1">
      <alignment horizontal="center" vertical="top" wrapText="1"/>
    </xf>
    <xf numFmtId="181" fontId="4" fillId="5" borderId="32" xfId="7" applyNumberFormat="1" applyFont="1" applyFill="1" applyBorder="1" applyAlignment="1">
      <alignment horizontal="center" vertical="center"/>
    </xf>
    <xf numFmtId="181" fontId="4" fillId="5" borderId="95" xfId="7" applyNumberFormat="1" applyFont="1" applyFill="1" applyBorder="1" applyAlignment="1">
      <alignment horizontal="center" vertical="center"/>
    </xf>
    <xf numFmtId="181" fontId="4" fillId="5" borderId="31" xfId="7" applyNumberFormat="1" applyFont="1" applyFill="1" applyBorder="1" applyAlignment="1">
      <alignment horizontal="center" vertical="center"/>
    </xf>
    <xf numFmtId="181" fontId="4" fillId="0" borderId="18" xfId="7" applyNumberFormat="1" applyFont="1" applyBorder="1" applyAlignment="1">
      <alignment horizontal="left" vertical="center"/>
    </xf>
    <xf numFmtId="181" fontId="4" fillId="0" borderId="0" xfId="7" applyNumberFormat="1" applyFont="1" applyBorder="1" applyAlignment="1">
      <alignment horizontal="left" vertical="center"/>
    </xf>
    <xf numFmtId="181" fontId="4" fillId="0" borderId="116" xfId="7" applyNumberFormat="1" applyFont="1" applyBorder="1" applyAlignment="1">
      <alignment horizontal="left" vertical="center"/>
    </xf>
    <xf numFmtId="181" fontId="2" fillId="2" borderId="8" xfId="7" applyNumberFormat="1" applyFont="1" applyFill="1" applyBorder="1" applyAlignment="1">
      <alignment horizontal="left" vertical="top" wrapText="1"/>
    </xf>
    <xf numFmtId="181" fontId="4" fillId="2" borderId="118" xfId="7" applyNumberFormat="1" applyFont="1" applyFill="1" applyBorder="1" applyAlignment="1">
      <alignment horizontal="center" vertical="top"/>
    </xf>
    <xf numFmtId="181" fontId="4" fillId="2" borderId="60" xfId="7" applyNumberFormat="1" applyFont="1" applyFill="1" applyBorder="1" applyAlignment="1">
      <alignment horizontal="center" vertical="top"/>
    </xf>
    <xf numFmtId="181" fontId="2" fillId="2" borderId="58" xfId="7" applyNumberFormat="1" applyFont="1" applyFill="1" applyBorder="1" applyAlignment="1">
      <alignment horizontal="left" vertical="top"/>
    </xf>
    <xf numFmtId="181" fontId="2" fillId="2" borderId="49" xfId="7" applyNumberFormat="1" applyFont="1" applyFill="1" applyBorder="1" applyAlignment="1">
      <alignment horizontal="left" vertical="top"/>
    </xf>
    <xf numFmtId="181" fontId="2" fillId="2" borderId="27" xfId="7" applyNumberFormat="1" applyFont="1" applyFill="1" applyBorder="1" applyAlignment="1">
      <alignment horizontal="left" vertical="top"/>
    </xf>
    <xf numFmtId="181" fontId="4" fillId="2" borderId="27" xfId="7" applyNumberFormat="1" applyFont="1" applyFill="1" applyBorder="1" applyAlignment="1">
      <alignment horizontal="center" vertical="top" wrapText="1"/>
    </xf>
    <xf numFmtId="181" fontId="4" fillId="2" borderId="18" xfId="7" applyNumberFormat="1" applyFont="1" applyFill="1" applyBorder="1" applyAlignment="1">
      <alignment horizontal="left" vertical="top" wrapText="1"/>
    </xf>
    <xf numFmtId="181" fontId="4" fillId="2" borderId="26" xfId="7" applyNumberFormat="1" applyFont="1" applyFill="1" applyBorder="1" applyAlignment="1">
      <alignment horizontal="left" vertical="top" wrapText="1"/>
    </xf>
    <xf numFmtId="181" fontId="4" fillId="0" borderId="91" xfId="7" applyNumberFormat="1" applyFont="1" applyFill="1" applyBorder="1" applyAlignment="1">
      <alignment horizontal="left" vertical="top" wrapText="1"/>
    </xf>
    <xf numFmtId="181" fontId="4" fillId="0" borderId="18" xfId="7" applyNumberFormat="1" applyFont="1" applyFill="1" applyBorder="1" applyAlignment="1">
      <alignment horizontal="left" vertical="top" wrapText="1"/>
    </xf>
    <xf numFmtId="181" fontId="4" fillId="0" borderId="26" xfId="7" applyNumberFormat="1" applyFont="1" applyFill="1" applyBorder="1" applyAlignment="1">
      <alignment horizontal="left" vertical="top" wrapText="1"/>
    </xf>
    <xf numFmtId="181" fontId="7" fillId="2" borderId="1" xfId="7" applyNumberFormat="1" applyFont="1" applyFill="1" applyBorder="1" applyAlignment="1">
      <alignment horizontal="left" vertical="top" wrapText="1"/>
    </xf>
    <xf numFmtId="181" fontId="7" fillId="2" borderId="3" xfId="7" applyNumberFormat="1" applyFont="1" applyFill="1" applyBorder="1" applyAlignment="1">
      <alignment horizontal="left" vertical="top" wrapText="1"/>
    </xf>
    <xf numFmtId="181" fontId="7" fillId="2" borderId="9" xfId="7" applyNumberFormat="1" applyFont="1" applyFill="1" applyBorder="1" applyAlignment="1">
      <alignment horizontal="left" vertical="top" wrapText="1"/>
    </xf>
    <xf numFmtId="181" fontId="2" fillId="2" borderId="91" xfId="7" applyNumberFormat="1" applyFont="1" applyFill="1" applyBorder="1" applyAlignment="1">
      <alignment horizontal="left" vertical="top"/>
    </xf>
    <xf numFmtId="181" fontId="2" fillId="2" borderId="18" xfId="7" applyNumberFormat="1" applyFont="1" applyFill="1" applyBorder="1" applyAlignment="1">
      <alignment horizontal="left" vertical="top"/>
    </xf>
    <xf numFmtId="181" fontId="2" fillId="2" borderId="114" xfId="7" applyNumberFormat="1" applyFont="1" applyFill="1" applyBorder="1" applyAlignment="1">
      <alignment horizontal="left" vertical="top"/>
    </xf>
    <xf numFmtId="0" fontId="14" fillId="0" borderId="0" xfId="7" applyNumberFormat="1" applyFont="1" applyBorder="1" applyAlignment="1">
      <alignment horizontal="center" vertical="center" wrapText="1"/>
    </xf>
    <xf numFmtId="0" fontId="16" fillId="0" borderId="0" xfId="7" applyNumberFormat="1" applyFont="1" applyBorder="1" applyAlignment="1">
      <alignment horizontal="center" vertical="center"/>
    </xf>
    <xf numFmtId="0" fontId="4" fillId="0" borderId="115" xfId="7" applyNumberFormat="1" applyFont="1" applyBorder="1" applyAlignment="1">
      <alignment horizontal="left" vertical="center"/>
    </xf>
    <xf numFmtId="181" fontId="4" fillId="2" borderId="118" xfId="7" applyNumberFormat="1" applyFont="1" applyFill="1" applyBorder="1" applyAlignment="1">
      <alignment horizontal="center" vertical="top" wrapText="1"/>
    </xf>
    <xf numFmtId="181" fontId="4" fillId="2" borderId="60" xfId="7" applyNumberFormat="1" applyFont="1" applyFill="1" applyBorder="1" applyAlignment="1">
      <alignment horizontal="center" vertical="top" wrapText="1"/>
    </xf>
    <xf numFmtId="181" fontId="4" fillId="2" borderId="141" xfId="7" applyNumberFormat="1" applyFont="1" applyFill="1" applyBorder="1" applyAlignment="1">
      <alignment horizontal="center" vertical="top"/>
    </xf>
    <xf numFmtId="181" fontId="4" fillId="2" borderId="146" xfId="7" applyNumberFormat="1" applyFont="1" applyFill="1" applyBorder="1" applyAlignment="1">
      <alignment horizontal="center" vertical="top"/>
    </xf>
    <xf numFmtId="181" fontId="4" fillId="5" borderId="115" xfId="7" applyNumberFormat="1" applyFont="1" applyFill="1" applyBorder="1" applyAlignment="1">
      <alignment horizontal="center" vertical="center"/>
    </xf>
    <xf numFmtId="181" fontId="4" fillId="5" borderId="20" xfId="7" applyNumberFormat="1" applyFont="1" applyFill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40" fillId="0" borderId="0" xfId="9" applyFont="1" applyAlignment="1">
      <alignment horizontal="center" vertical="center" wrapText="1"/>
    </xf>
    <xf numFmtId="0" fontId="41" fillId="0" borderId="0" xfId="9" applyFont="1" applyAlignment="1">
      <alignment horizontal="center" vertical="center"/>
    </xf>
    <xf numFmtId="0" fontId="42" fillId="13" borderId="0" xfId="2" applyFont="1" applyFill="1" applyAlignment="1">
      <alignment horizontal="left" vertical="center" wrapText="1"/>
    </xf>
    <xf numFmtId="0" fontId="45" fillId="0" borderId="115" xfId="9" applyFont="1" applyBorder="1" applyAlignment="1">
      <alignment horizontal="left" vertical="center"/>
    </xf>
    <xf numFmtId="0" fontId="46" fillId="16" borderId="162" xfId="9" applyFont="1" applyFill="1" applyBorder="1" applyAlignment="1">
      <alignment horizontal="center" vertical="center"/>
    </xf>
    <xf numFmtId="0" fontId="46" fillId="16" borderId="124" xfId="9" applyFont="1" applyFill="1" applyBorder="1" applyAlignment="1">
      <alignment horizontal="center" vertical="center"/>
    </xf>
    <xf numFmtId="41" fontId="47" fillId="16" borderId="58" xfId="10" applyFont="1" applyFill="1" applyBorder="1" applyAlignment="1">
      <alignment horizontal="center" vertical="center" wrapText="1"/>
    </xf>
    <xf numFmtId="41" fontId="47" fillId="16" borderId="27" xfId="10" applyFont="1" applyFill="1" applyBorder="1" applyAlignment="1">
      <alignment horizontal="center" vertical="center" wrapText="1"/>
    </xf>
    <xf numFmtId="181" fontId="47" fillId="16" borderId="58" xfId="10" applyNumberFormat="1" applyFont="1" applyFill="1" applyBorder="1" applyAlignment="1">
      <alignment horizontal="center" vertical="center" wrapText="1"/>
    </xf>
    <xf numFmtId="181" fontId="47" fillId="16" borderId="27" xfId="10" applyNumberFormat="1" applyFont="1" applyFill="1" applyBorder="1" applyAlignment="1">
      <alignment horizontal="center" vertical="center" wrapText="1"/>
    </xf>
    <xf numFmtId="9" fontId="47" fillId="16" borderId="1" xfId="10" applyNumberFormat="1" applyFont="1" applyFill="1" applyBorder="1" applyAlignment="1">
      <alignment horizontal="center" vertical="center" wrapText="1"/>
    </xf>
    <xf numFmtId="9" fontId="47" fillId="16" borderId="8" xfId="10" applyNumberFormat="1" applyFont="1" applyFill="1" applyBorder="1" applyAlignment="1">
      <alignment horizontal="center" vertical="center" wrapText="1"/>
    </xf>
    <xf numFmtId="177" fontId="47" fillId="16" borderId="2" xfId="10" applyNumberFormat="1" applyFont="1" applyFill="1" applyBorder="1" applyAlignment="1">
      <alignment horizontal="center" vertical="center" wrapText="1"/>
    </xf>
    <xf numFmtId="177" fontId="47" fillId="16" borderId="7" xfId="10" applyNumberFormat="1" applyFont="1" applyFill="1" applyBorder="1" applyAlignment="1">
      <alignment horizontal="center" vertical="center" wrapText="1"/>
    </xf>
    <xf numFmtId="0" fontId="46" fillId="13" borderId="87" xfId="9" applyFont="1" applyFill="1" applyBorder="1" applyAlignment="1">
      <alignment vertical="top" wrapText="1"/>
    </xf>
    <xf numFmtId="0" fontId="46" fillId="13" borderId="161" xfId="9" applyFont="1" applyFill="1" applyBorder="1" applyAlignment="1">
      <alignment vertical="top" wrapText="1"/>
    </xf>
    <xf numFmtId="0" fontId="32" fillId="13" borderId="49" xfId="9" applyFont="1" applyFill="1" applyBorder="1" applyAlignment="1">
      <alignment horizontal="left" vertical="top" wrapText="1"/>
    </xf>
    <xf numFmtId="0" fontId="32" fillId="13" borderId="9" xfId="9" applyFont="1" applyFill="1" applyBorder="1" applyAlignment="1">
      <alignment horizontal="left" vertical="top" wrapText="1"/>
    </xf>
    <xf numFmtId="0" fontId="46" fillId="13" borderId="8" xfId="9" applyFont="1" applyFill="1" applyBorder="1" applyAlignment="1">
      <alignment horizontal="center" vertical="center" wrapText="1"/>
    </xf>
    <xf numFmtId="0" fontId="46" fillId="13" borderId="18" xfId="9" applyFont="1" applyFill="1" applyBorder="1" applyAlignment="1">
      <alignment horizontal="left" vertical="top"/>
    </xf>
    <xf numFmtId="0" fontId="46" fillId="13" borderId="114" xfId="9" applyFont="1" applyFill="1" applyBorder="1" applyAlignment="1">
      <alignment horizontal="left" vertical="top"/>
    </xf>
    <xf numFmtId="0" fontId="46" fillId="13" borderId="73" xfId="9" applyFont="1" applyFill="1" applyBorder="1" applyAlignment="1">
      <alignment horizontal="center" vertical="top" wrapText="1"/>
    </xf>
    <xf numFmtId="0" fontId="46" fillId="13" borderId="115" xfId="9" applyFont="1" applyFill="1" applyBorder="1" applyAlignment="1">
      <alignment horizontal="center" vertical="top" wrapText="1"/>
    </xf>
    <xf numFmtId="0" fontId="46" fillId="13" borderId="52" xfId="9" applyFont="1" applyFill="1" applyBorder="1" applyAlignment="1">
      <alignment horizontal="left"/>
    </xf>
    <xf numFmtId="0" fontId="46" fillId="13" borderId="87" xfId="9" applyFont="1" applyFill="1" applyBorder="1" applyAlignment="1">
      <alignment horizontal="left"/>
    </xf>
    <xf numFmtId="0" fontId="46" fillId="13" borderId="161" xfId="9" applyFont="1" applyFill="1" applyBorder="1" applyAlignment="1">
      <alignment horizontal="left"/>
    </xf>
    <xf numFmtId="0" fontId="32" fillId="13" borderId="58" xfId="9" applyFont="1" applyFill="1" applyBorder="1" applyAlignment="1">
      <alignment horizontal="left" vertical="top" wrapText="1"/>
    </xf>
    <xf numFmtId="0" fontId="46" fillId="13" borderId="62" xfId="9" applyFont="1" applyFill="1" applyBorder="1" applyAlignment="1">
      <alignment horizontal="center" vertical="top"/>
    </xf>
    <xf numFmtId="0" fontId="46" fillId="13" borderId="63" xfId="9" applyFont="1" applyFill="1" applyBorder="1" applyAlignment="1">
      <alignment horizontal="center" vertical="top"/>
    </xf>
    <xf numFmtId="0" fontId="46" fillId="13" borderId="52" xfId="9" applyFont="1" applyFill="1" applyBorder="1" applyAlignment="1">
      <alignment vertical="top" wrapText="1"/>
    </xf>
    <xf numFmtId="0" fontId="46" fillId="13" borderId="62" xfId="9" applyFont="1" applyFill="1" applyBorder="1" applyAlignment="1">
      <alignment horizontal="center" vertical="top" wrapText="1"/>
    </xf>
    <xf numFmtId="0" fontId="46" fillId="13" borderId="163" xfId="9" applyFont="1" applyFill="1" applyBorder="1" applyAlignment="1">
      <alignment horizontal="center" vertical="top" wrapText="1"/>
    </xf>
    <xf numFmtId="0" fontId="46" fillId="13" borderId="117" xfId="9" applyFont="1" applyFill="1" applyBorder="1" applyAlignment="1">
      <alignment horizontal="left" vertical="top" wrapText="1"/>
    </xf>
    <xf numFmtId="0" fontId="46" fillId="13" borderId="97" xfId="9" applyFont="1" applyFill="1" applyBorder="1" applyAlignment="1">
      <alignment horizontal="left" vertical="top" wrapText="1"/>
    </xf>
    <xf numFmtId="0" fontId="46" fillId="13" borderId="17" xfId="9" applyFont="1" applyFill="1" applyBorder="1" applyAlignment="1">
      <alignment horizontal="left" vertical="top" wrapText="1"/>
    </xf>
    <xf numFmtId="0" fontId="32" fillId="13" borderId="3" xfId="9" applyFont="1" applyFill="1" applyBorder="1" applyAlignment="1">
      <alignment horizontal="left" vertical="top" wrapText="1"/>
    </xf>
    <xf numFmtId="0" fontId="46" fillId="13" borderId="8" xfId="9" applyFont="1" applyFill="1" applyBorder="1" applyAlignment="1">
      <alignment horizontal="center" vertical="top" wrapText="1"/>
    </xf>
    <xf numFmtId="0" fontId="46" fillId="13" borderId="52" xfId="9" applyFont="1" applyFill="1" applyBorder="1" applyAlignment="1">
      <alignment horizontal="left" wrapText="1"/>
    </xf>
    <xf numFmtId="0" fontId="46" fillId="13" borderId="87" xfId="9" applyFont="1" applyFill="1" applyBorder="1" applyAlignment="1">
      <alignment horizontal="left" wrapText="1"/>
    </xf>
    <xf numFmtId="0" fontId="46" fillId="13" borderId="161" xfId="9" applyFont="1" applyFill="1" applyBorder="1" applyAlignment="1">
      <alignment horizontal="left" wrapText="1"/>
    </xf>
    <xf numFmtId="0" fontId="46" fillId="13" borderId="118" xfId="9" applyFont="1" applyFill="1" applyBorder="1" applyAlignment="1">
      <alignment horizontal="center" vertical="top" wrapText="1"/>
    </xf>
    <xf numFmtId="0" fontId="46" fillId="13" borderId="60" xfId="9" applyFont="1" applyFill="1" applyBorder="1" applyAlignment="1">
      <alignment horizontal="center" vertical="top" wrapText="1"/>
    </xf>
    <xf numFmtId="0" fontId="46" fillId="13" borderId="158" xfId="9" applyFont="1" applyFill="1" applyBorder="1" applyAlignment="1">
      <alignment horizontal="left"/>
    </xf>
    <xf numFmtId="0" fontId="46" fillId="13" borderId="97" xfId="9" applyFont="1" applyFill="1" applyBorder="1" applyAlignment="1">
      <alignment horizontal="left"/>
    </xf>
    <xf numFmtId="0" fontId="46" fillId="13" borderId="17" xfId="9" applyFont="1" applyFill="1" applyBorder="1" applyAlignment="1">
      <alignment horizontal="left"/>
    </xf>
    <xf numFmtId="0" fontId="32" fillId="13" borderId="1" xfId="9" applyFont="1" applyFill="1" applyBorder="1" applyAlignment="1">
      <alignment horizontal="left" vertical="top" wrapText="1"/>
    </xf>
    <xf numFmtId="0" fontId="46" fillId="13" borderId="117" xfId="9" applyFont="1" applyFill="1" applyBorder="1" applyAlignment="1">
      <alignment horizontal="left" wrapText="1"/>
    </xf>
    <xf numFmtId="0" fontId="46" fillId="13" borderId="97" xfId="9" applyFont="1" applyFill="1" applyBorder="1" applyAlignment="1">
      <alignment horizontal="left" wrapText="1"/>
    </xf>
    <xf numFmtId="0" fontId="46" fillId="13" borderId="29" xfId="9" applyFont="1" applyFill="1" applyBorder="1" applyAlignment="1">
      <alignment horizontal="left" wrapText="1"/>
    </xf>
    <xf numFmtId="0" fontId="32" fillId="13" borderId="9" xfId="9" applyFont="1" applyFill="1" applyBorder="1" applyAlignment="1">
      <alignment horizontal="left" wrapText="1"/>
    </xf>
    <xf numFmtId="0" fontId="32" fillId="13" borderId="3" xfId="9" applyFont="1" applyFill="1" applyBorder="1" applyAlignment="1">
      <alignment horizontal="left" wrapText="1"/>
    </xf>
    <xf numFmtId="0" fontId="46" fillId="13" borderId="30" xfId="9" applyFont="1" applyFill="1" applyBorder="1" applyAlignment="1">
      <alignment horizontal="center" vertical="top" wrapText="1"/>
    </xf>
    <xf numFmtId="0" fontId="46" fillId="16" borderId="32" xfId="9" applyFont="1" applyFill="1" applyBorder="1" applyAlignment="1">
      <alignment horizontal="center" vertical="center"/>
    </xf>
    <xf numFmtId="0" fontId="46" fillId="16" borderId="95" xfId="9" applyFont="1" applyFill="1" applyBorder="1" applyAlignment="1">
      <alignment horizontal="center" vertical="center"/>
    </xf>
    <xf numFmtId="0" fontId="46" fillId="16" borderId="31" xfId="9" applyFont="1" applyFill="1" applyBorder="1" applyAlignment="1">
      <alignment horizontal="center" vertical="center"/>
    </xf>
    <xf numFmtId="0" fontId="45" fillId="0" borderId="32" xfId="9" applyFont="1" applyBorder="1" applyAlignment="1">
      <alignment horizontal="left" vertical="center"/>
    </xf>
    <xf numFmtId="0" fontId="45" fillId="0" borderId="95" xfId="9" applyFont="1" applyBorder="1" applyAlignment="1">
      <alignment horizontal="left" vertical="center"/>
    </xf>
    <xf numFmtId="0" fontId="32" fillId="13" borderId="8" xfId="9" applyFont="1" applyFill="1" applyBorder="1" applyAlignment="1">
      <alignment horizontal="left" vertical="top" wrapText="1"/>
    </xf>
    <xf numFmtId="0" fontId="46" fillId="13" borderId="73" xfId="9" applyFont="1" applyFill="1" applyBorder="1" applyAlignment="1">
      <alignment horizontal="center" vertical="top"/>
    </xf>
    <xf numFmtId="0" fontId="46" fillId="13" borderId="20" xfId="9" applyFont="1" applyFill="1" applyBorder="1" applyAlignment="1">
      <alignment horizontal="center" vertical="top"/>
    </xf>
    <xf numFmtId="0" fontId="46" fillId="13" borderId="118" xfId="9" applyFont="1" applyFill="1" applyBorder="1" applyAlignment="1">
      <alignment horizontal="center" vertical="top"/>
    </xf>
    <xf numFmtId="0" fontId="46" fillId="13" borderId="60" xfId="9" applyFont="1" applyFill="1" applyBorder="1" applyAlignment="1">
      <alignment horizontal="center" vertical="top"/>
    </xf>
    <xf numFmtId="0" fontId="46" fillId="13" borderId="52" xfId="9" applyFont="1" applyFill="1" applyBorder="1" applyAlignment="1">
      <alignment horizontal="left" vertical="top"/>
    </xf>
    <xf numFmtId="0" fontId="46" fillId="13" borderId="87" xfId="9" applyFont="1" applyFill="1" applyBorder="1" applyAlignment="1">
      <alignment horizontal="left" vertical="top"/>
    </xf>
    <xf numFmtId="0" fontId="46" fillId="13" borderId="161" xfId="9" applyFont="1" applyFill="1" applyBorder="1" applyAlignment="1">
      <alignment horizontal="left" vertical="top"/>
    </xf>
    <xf numFmtId="0" fontId="32" fillId="13" borderId="58" xfId="9" applyFont="1" applyFill="1" applyBorder="1" applyAlignment="1">
      <alignment horizontal="left" vertical="top"/>
    </xf>
    <xf numFmtId="0" fontId="32" fillId="13" borderId="49" xfId="9" applyFont="1" applyFill="1" applyBorder="1" applyAlignment="1">
      <alignment horizontal="left" vertical="top"/>
    </xf>
    <xf numFmtId="0" fontId="32" fillId="13" borderId="27" xfId="9" applyFont="1" applyFill="1" applyBorder="1" applyAlignment="1">
      <alignment horizontal="left" vertical="top"/>
    </xf>
    <xf numFmtId="0" fontId="32" fillId="13" borderId="27" xfId="9" applyFont="1" applyFill="1" applyBorder="1" applyAlignment="1">
      <alignment horizontal="left" vertical="top" wrapText="1"/>
    </xf>
    <xf numFmtId="0" fontId="46" fillId="13" borderId="27" xfId="9" applyFont="1" applyFill="1" applyBorder="1" applyAlignment="1">
      <alignment horizontal="center" vertical="top" wrapText="1"/>
    </xf>
    <xf numFmtId="0" fontId="46" fillId="0" borderId="18" xfId="9" applyFont="1" applyBorder="1" applyAlignment="1">
      <alignment horizontal="left" vertical="top" wrapText="1"/>
    </xf>
    <xf numFmtId="0" fontId="46" fillId="0" borderId="26" xfId="9" applyFont="1" applyBorder="1" applyAlignment="1">
      <alignment horizontal="left" vertical="top" wrapText="1"/>
    </xf>
    <xf numFmtId="0" fontId="36" fillId="13" borderId="9" xfId="9" applyFont="1" applyFill="1" applyBorder="1" applyAlignment="1">
      <alignment horizontal="left" vertical="top" wrapText="1"/>
    </xf>
    <xf numFmtId="0" fontId="36" fillId="13" borderId="3" xfId="9" applyFont="1" applyFill="1" applyBorder="1" applyAlignment="1">
      <alignment horizontal="left" vertical="top" wrapText="1"/>
    </xf>
    <xf numFmtId="0" fontId="46" fillId="13" borderId="18" xfId="9" applyFont="1" applyFill="1" applyBorder="1" applyAlignment="1">
      <alignment horizontal="left" vertical="top" wrapText="1"/>
    </xf>
    <xf numFmtId="0" fontId="46" fillId="13" borderId="26" xfId="9" applyFont="1" applyFill="1" applyBorder="1" applyAlignment="1">
      <alignment horizontal="left" vertical="top" wrapText="1"/>
    </xf>
    <xf numFmtId="0" fontId="46" fillId="0" borderId="91" xfId="9" applyFont="1" applyBorder="1" applyAlignment="1">
      <alignment horizontal="left" vertical="top" wrapText="1"/>
    </xf>
    <xf numFmtId="0" fontId="36" fillId="13" borderId="1" xfId="9" applyFont="1" applyFill="1" applyBorder="1" applyAlignment="1">
      <alignment horizontal="left" vertical="top" wrapText="1"/>
    </xf>
    <xf numFmtId="0" fontId="24" fillId="0" borderId="0" xfId="11" applyFont="1" applyAlignment="1">
      <alignment horizontal="center" vertical="center"/>
    </xf>
    <xf numFmtId="0" fontId="55" fillId="0" borderId="0" xfId="11" applyAlignment="1">
      <alignment vertical="center"/>
    </xf>
    <xf numFmtId="0" fontId="56" fillId="0" borderId="0" xfId="11" applyFont="1" applyAlignment="1">
      <alignment horizontal="center" vertical="center" wrapText="1"/>
    </xf>
    <xf numFmtId="0" fontId="53" fillId="12" borderId="0" xfId="11" applyFont="1" applyFill="1" applyBorder="1" applyAlignment="1">
      <alignment horizontal="left" vertical="center" wrapText="1"/>
    </xf>
    <xf numFmtId="0" fontId="60" fillId="0" borderId="0" xfId="11" applyFont="1" applyBorder="1" applyAlignment="1">
      <alignment vertical="center"/>
    </xf>
    <xf numFmtId="0" fontId="61" fillId="18" borderId="194" xfId="11" applyFont="1" applyFill="1" applyBorder="1" applyAlignment="1">
      <alignment horizontal="center" vertical="center"/>
    </xf>
    <xf numFmtId="0" fontId="60" fillId="0" borderId="195" xfId="11" applyFont="1" applyBorder="1" applyAlignment="1">
      <alignment vertical="center"/>
    </xf>
    <xf numFmtId="179" fontId="62" fillId="18" borderId="170" xfId="11" applyNumberFormat="1" applyFont="1" applyFill="1" applyBorder="1" applyAlignment="1">
      <alignment horizontal="center" vertical="center" wrapText="1"/>
    </xf>
    <xf numFmtId="0" fontId="60" fillId="0" borderId="51" xfId="11" applyFont="1" applyBorder="1" applyAlignment="1">
      <alignment vertical="center"/>
    </xf>
    <xf numFmtId="9" fontId="62" fillId="18" borderId="170" xfId="11" applyNumberFormat="1" applyFont="1" applyFill="1" applyBorder="1" applyAlignment="1">
      <alignment horizontal="center" vertical="center" wrapText="1"/>
    </xf>
    <xf numFmtId="177" fontId="62" fillId="18" borderId="196" xfId="11" applyNumberFormat="1" applyFont="1" applyFill="1" applyBorder="1" applyAlignment="1">
      <alignment horizontal="center" vertical="center" wrapText="1"/>
    </xf>
    <xf numFmtId="0" fontId="60" fillId="0" borderId="198" xfId="11" applyFont="1" applyBorder="1" applyAlignment="1">
      <alignment vertical="center"/>
    </xf>
    <xf numFmtId="0" fontId="61" fillId="12" borderId="199" xfId="11" applyFont="1" applyFill="1" applyBorder="1" applyAlignment="1">
      <alignment horizontal="left" vertical="top" wrapText="1"/>
    </xf>
    <xf numFmtId="0" fontId="60" fillId="0" borderId="200" xfId="11" applyFont="1" applyBorder="1" applyAlignment="1">
      <alignment vertical="center"/>
    </xf>
    <xf numFmtId="0" fontId="60" fillId="0" borderId="197" xfId="11" applyFont="1" applyBorder="1" applyAlignment="1">
      <alignment vertical="center"/>
    </xf>
    <xf numFmtId="0" fontId="24" fillId="12" borderId="170" xfId="11" applyFont="1" applyFill="1" applyBorder="1" applyAlignment="1">
      <alignment horizontal="left" vertical="top" wrapText="1"/>
    </xf>
    <xf numFmtId="0" fontId="60" fillId="0" borderId="42" xfId="11" applyFont="1" applyBorder="1" applyAlignment="1">
      <alignment vertical="center"/>
    </xf>
    <xf numFmtId="0" fontId="61" fillId="12" borderId="201" xfId="11" applyFont="1" applyFill="1" applyBorder="1" applyAlignment="1">
      <alignment horizontal="center" vertical="top" wrapText="1"/>
    </xf>
    <xf numFmtId="0" fontId="60" fillId="0" borderId="202" xfId="11" applyFont="1" applyBorder="1" applyAlignment="1">
      <alignment vertical="center"/>
    </xf>
    <xf numFmtId="0" fontId="61" fillId="12" borderId="204" xfId="11" applyFont="1" applyFill="1" applyBorder="1" applyAlignment="1">
      <alignment horizontal="left" vertical="top"/>
    </xf>
    <xf numFmtId="0" fontId="60" fillId="0" borderId="204" xfId="11" applyFont="1" applyBorder="1" applyAlignment="1">
      <alignment vertical="center"/>
    </xf>
    <xf numFmtId="0" fontId="60" fillId="0" borderId="206" xfId="11" applyFont="1" applyBorder="1" applyAlignment="1">
      <alignment vertical="center"/>
    </xf>
    <xf numFmtId="0" fontId="61" fillId="12" borderId="199" xfId="11" applyFont="1" applyFill="1" applyBorder="1" applyAlignment="1">
      <alignment vertical="top" wrapText="1"/>
    </xf>
    <xf numFmtId="0" fontId="61" fillId="12" borderId="200" xfId="11" applyFont="1" applyFill="1" applyBorder="1" applyAlignment="1">
      <alignment horizontal="left" vertical="top" wrapText="1"/>
    </xf>
    <xf numFmtId="0" fontId="61" fillId="12" borderId="200" xfId="11" applyFont="1" applyFill="1" applyBorder="1" applyAlignment="1">
      <alignment horizontal="left" vertical="top"/>
    </xf>
    <xf numFmtId="0" fontId="61" fillId="12" borderId="199" xfId="11" applyFont="1" applyFill="1" applyBorder="1" applyAlignment="1">
      <alignment horizontal="left" vertical="top"/>
    </xf>
    <xf numFmtId="0" fontId="61" fillId="18" borderId="207" xfId="11" applyFont="1" applyFill="1" applyBorder="1" applyAlignment="1">
      <alignment horizontal="center" vertical="center"/>
    </xf>
    <xf numFmtId="0" fontId="60" fillId="0" borderId="208" xfId="11" applyFont="1" applyBorder="1" applyAlignment="1">
      <alignment vertical="center"/>
    </xf>
    <xf numFmtId="0" fontId="61" fillId="12" borderId="209" xfId="11" applyFont="1" applyFill="1" applyBorder="1" applyAlignment="1">
      <alignment horizontal="left" vertical="top"/>
    </xf>
    <xf numFmtId="0" fontId="61" fillId="12" borderId="201" xfId="11" applyFont="1" applyFill="1" applyBorder="1" applyAlignment="1">
      <alignment horizontal="center" vertical="top"/>
    </xf>
    <xf numFmtId="0" fontId="24" fillId="12" borderId="170" xfId="11" applyFont="1" applyFill="1" applyBorder="1" applyAlignment="1">
      <alignment horizontal="left" vertical="top"/>
    </xf>
    <xf numFmtId="0" fontId="24" fillId="12" borderId="42" xfId="11" applyFont="1" applyFill="1" applyBorder="1" applyAlignment="1">
      <alignment horizontal="left" vertical="top" wrapText="1"/>
    </xf>
    <xf numFmtId="0" fontId="61" fillId="0" borderId="199" xfId="11" applyFont="1" applyBorder="1" applyAlignment="1">
      <alignment horizontal="left" vertical="top" wrapText="1"/>
    </xf>
    <xf numFmtId="0" fontId="65" fillId="12" borderId="170" xfId="11" applyFont="1" applyFill="1" applyBorder="1" applyAlignment="1">
      <alignment horizontal="left" vertical="top" wrapText="1"/>
    </xf>
  </cellXfs>
  <cellStyles count="12">
    <cellStyle name="쉼표 [0]" xfId="1" builtinId="6"/>
    <cellStyle name="쉼표 [0] 2" xfId="3"/>
    <cellStyle name="쉼표 [0] 3" xfId="6"/>
    <cellStyle name="쉼표 [0] 4" xfId="8"/>
    <cellStyle name="쉼표 [0] 5" xfId="10"/>
    <cellStyle name="표준" xfId="0" builtinId="0"/>
    <cellStyle name="표준 2" xfId="2"/>
    <cellStyle name="표준 3" xfId="5"/>
    <cellStyle name="표준 4" xfId="4"/>
    <cellStyle name="표준 5" xfId="7"/>
    <cellStyle name="표준 6" xfId="9"/>
    <cellStyle name="표준 7" xfId="1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277;&#50976;%20&#46300;&#46972;&#51060;&#48652;\&#48708;&#51204;&#44592;&#54925;&#54016;\10.%20&#48373;&#51648;&#49324;&#50629;&#45800;\4.%20&#48277;&#51064;&#54665;&#51221;&#49324;&#47924;\3.%20&#50696;&#49328;\&#52628;&#44221;&#50696;&#49328;\2025&#45380;\2025&#45380;%20&#48373;&#51648;&#49324;&#50629;&#45800;%202&#52264;%20&#52628;&#44221;&#50696;&#49328;(&#50504;)%20&#52572;&#5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5236;%20&#46300;&#46972;&#51060;&#48652;\&#9733;&#9733;YWCA_&#48373;&#51648;&#49324;&#50629;&#45800;(20190301&#51060;&#54980;)&#9733;&#9733;\4.%20&#48277;&#51064;&#54665;&#51221;&#49324;&#47924;\1.%20&#51060;&#49324;&#54924;\&#9733;&#9733;&#54924;&#51032;&#51088;&#47308;&#9733;&#9733;\2024\&#51076;&#49884;&#51060;&#49324;&#54924;\&#51228;3&#52264;%20&#51076;&#49884;&#51060;&#49324;&#54924;(20240925)\&#51008;&#54617;&#51032;&#51665;\(&#51008;&#54617;&#51032;&#51665;)%202024&#45380;%20&#52628;&#44221;&#50696;&#49328;(&#50504;)%20&#49464;&#48512;&#45236;&#50669;%20&#52509;&#44292;&#54364;(&#52572;&#49688;&#5122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사무국 기금 현황"/>
      <sheetName val="2025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 강서구지역자활센터(장기요양사업)"/>
      <sheetName val="6.은학의 집"/>
      <sheetName val="6-1.은학의집(재가복지)"/>
      <sheetName val="6-2은학의집(요양시설)"/>
      <sheetName val="7.울산씨밀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9">
          <cell r="D49">
            <v>136987462</v>
          </cell>
          <cell r="E49">
            <v>136987462</v>
          </cell>
          <cell r="F49">
            <v>136987462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D9">
            <v>202547448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19">
        <row r="9">
          <cell r="D9">
            <v>136347840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topLeftCell="B1" zoomScale="90" zoomScaleNormal="90" zoomScaleSheetLayoutView="75" workbookViewId="0">
      <selection activeCell="A2" sqref="A2:H2"/>
    </sheetView>
  </sheetViews>
  <sheetFormatPr defaultColWidth="8.58203125" defaultRowHeight="17"/>
  <cols>
    <col min="1" max="1" width="4.08203125" style="1" customWidth="1"/>
    <col min="2" max="2" width="26.83203125" style="1" customWidth="1"/>
    <col min="3" max="4" width="20.58203125" style="1" customWidth="1"/>
    <col min="5" max="5" width="23.08203125" style="1" customWidth="1"/>
    <col min="6" max="6" width="19.25" style="1" customWidth="1"/>
    <col min="7" max="7" width="10.58203125" style="1" customWidth="1"/>
    <col min="8" max="8" width="46.75" style="1" customWidth="1"/>
  </cols>
  <sheetData>
    <row r="1" spans="1:8">
      <c r="A1" s="174"/>
      <c r="B1" s="174"/>
      <c r="C1" s="174"/>
      <c r="D1" s="174"/>
      <c r="E1" s="174"/>
      <c r="F1" s="174"/>
      <c r="G1" s="174"/>
      <c r="H1" s="174"/>
    </row>
    <row r="2" spans="1:8" ht="26">
      <c r="A2" s="1763" t="s">
        <v>47</v>
      </c>
      <c r="B2" s="1763"/>
      <c r="C2" s="1763"/>
      <c r="D2" s="1763"/>
      <c r="E2" s="1763"/>
      <c r="F2" s="1763"/>
      <c r="G2" s="1763"/>
      <c r="H2" s="1763"/>
    </row>
    <row r="3" spans="1:8" ht="33.5">
      <c r="A3" s="1761" t="s">
        <v>273</v>
      </c>
      <c r="B3" s="1761"/>
      <c r="C3" s="1761"/>
      <c r="D3" s="1761"/>
      <c r="E3" s="1761"/>
      <c r="F3" s="1761"/>
      <c r="G3" s="1761"/>
      <c r="H3" s="1761"/>
    </row>
    <row r="4" spans="1:8" ht="17.5" thickBot="1">
      <c r="A4" s="1762" t="s">
        <v>100</v>
      </c>
      <c r="B4" s="1762"/>
      <c r="C4" s="1762"/>
      <c r="D4" s="1762"/>
      <c r="E4" s="1762"/>
      <c r="F4" s="1762"/>
      <c r="G4" s="1762"/>
      <c r="H4" s="1762"/>
    </row>
    <row r="5" spans="1:8" ht="36" customHeight="1" thickBot="1">
      <c r="A5" s="115" t="s">
        <v>84</v>
      </c>
      <c r="B5" s="63" t="s">
        <v>65</v>
      </c>
      <c r="C5" s="63" t="s">
        <v>137</v>
      </c>
      <c r="D5" s="908" t="s">
        <v>59</v>
      </c>
      <c r="E5" s="63" t="s">
        <v>44</v>
      </c>
      <c r="F5" s="63" t="s">
        <v>108</v>
      </c>
      <c r="G5" s="63" t="s">
        <v>186</v>
      </c>
      <c r="H5" s="64" t="s">
        <v>192</v>
      </c>
    </row>
    <row r="6" spans="1:8" ht="36" customHeight="1">
      <c r="A6" s="116">
        <v>1</v>
      </c>
      <c r="B6" s="61" t="s">
        <v>169</v>
      </c>
      <c r="C6" s="516">
        <f>SUM('1. 본부사무국'!D27)</f>
        <v>378285997</v>
      </c>
      <c r="D6" s="516">
        <f>SUM('1. 본부사무국'!E27)</f>
        <v>182603253</v>
      </c>
      <c r="E6" s="516">
        <f>SUM('1. 본부사무국'!F27)</f>
        <v>1290294970</v>
      </c>
      <c r="F6" s="1182">
        <f>SUM('1. 본부사무국'!G27)</f>
        <v>912008973</v>
      </c>
      <c r="G6" s="1179">
        <v>2.411</v>
      </c>
      <c r="H6" s="1192" t="s">
        <v>534</v>
      </c>
    </row>
    <row r="7" spans="1:8" ht="24.75" customHeight="1">
      <c r="A7" s="117">
        <v>2</v>
      </c>
      <c r="B7" s="60" t="s">
        <v>155</v>
      </c>
      <c r="C7" s="516">
        <f>SUM('2.서울지부'!D24)</f>
        <v>9000000</v>
      </c>
      <c r="D7" s="516">
        <f>SUM('2.서울지부'!E24)</f>
        <v>1525363</v>
      </c>
      <c r="E7" s="516">
        <f>SUM('2.서울지부'!F24)</f>
        <v>7550000</v>
      </c>
      <c r="F7" s="1183">
        <f>SUM(E7-C7)</f>
        <v>-1450000</v>
      </c>
      <c r="G7" s="1205">
        <f>F7/C7*100%</f>
        <v>-0.16111111111111112</v>
      </c>
      <c r="H7" s="62" t="s">
        <v>519</v>
      </c>
    </row>
    <row r="8" spans="1:8" ht="24.75" customHeight="1">
      <c r="A8" s="117">
        <v>3</v>
      </c>
      <c r="B8" s="60" t="s">
        <v>194</v>
      </c>
      <c r="C8" s="516">
        <f>SUM('3.부산지부'!D24)</f>
        <v>27050000</v>
      </c>
      <c r="D8" s="516">
        <f>SUM('3.부산지부'!E24)</f>
        <v>21070606</v>
      </c>
      <c r="E8" s="516">
        <f>SUM('3.부산지부'!F24)</f>
        <v>27044000</v>
      </c>
      <c r="F8" s="1183">
        <f>SUM(E8-C8)</f>
        <v>-6000</v>
      </c>
      <c r="G8" s="517">
        <v>0</v>
      </c>
      <c r="H8" s="62"/>
    </row>
    <row r="9" spans="1:8" ht="24.75" customHeight="1" thickBot="1">
      <c r="A9" s="1764" t="s">
        <v>170</v>
      </c>
      <c r="B9" s="1765"/>
      <c r="C9" s="543">
        <f>SUM(C6:C8)</f>
        <v>414335997</v>
      </c>
      <c r="D9" s="543">
        <f>SUM(D6:D8)</f>
        <v>205199222</v>
      </c>
      <c r="E9" s="543">
        <f>SUM(E6:E8)</f>
        <v>1324888970</v>
      </c>
      <c r="F9" s="1184">
        <f>E9-C9</f>
        <v>910552973</v>
      </c>
      <c r="G9" s="544">
        <f>F9/C9*100%</f>
        <v>2.1976197568950302</v>
      </c>
      <c r="H9" s="405"/>
    </row>
    <row r="10" spans="1:8" ht="38" customHeight="1" thickBot="1">
      <c r="A10" s="406">
        <v>4</v>
      </c>
      <c r="B10" s="1191" t="s">
        <v>512</v>
      </c>
      <c r="C10" s="518">
        <f>SUM('4. 서울Y 봉천종합사회복지관'!D49)</f>
        <v>2280000000</v>
      </c>
      <c r="D10" s="518">
        <f>SUM('4. 서울Y 봉천종합사회복지관'!E49)</f>
        <v>2178215492</v>
      </c>
      <c r="E10" s="518">
        <f>SUM('4. 서울Y 봉천종합사회복지관'!F49)</f>
        <v>2380000000</v>
      </c>
      <c r="F10" s="1185">
        <f>SUM(E10-C10)</f>
        <v>100000000</v>
      </c>
      <c r="G10" s="1206">
        <f>F10/C10*100%</f>
        <v>4.3859649122807015E-2</v>
      </c>
      <c r="H10" s="1193" t="s">
        <v>511</v>
      </c>
    </row>
    <row r="11" spans="1:8" ht="38" customHeight="1" thickBot="1">
      <c r="A11" s="1199">
        <v>5</v>
      </c>
      <c r="B11" s="1200" t="s">
        <v>514</v>
      </c>
      <c r="C11" s="1201">
        <f>'[1]5. 강서구지역자활센터(장기요양사업)'!D49</f>
        <v>136987462</v>
      </c>
      <c r="D11" s="1201">
        <f>'[1]5. 강서구지역자활센터(장기요양사업)'!E49</f>
        <v>136987462</v>
      </c>
      <c r="E11" s="1201">
        <f>'[1]5. 강서구지역자활센터(장기요양사업)'!F49</f>
        <v>136987462</v>
      </c>
      <c r="F11" s="1201">
        <f t="shared" ref="F11" si="0">E11-C11</f>
        <v>0</v>
      </c>
      <c r="G11" s="1203">
        <f t="shared" ref="G11" si="1">F11/C11*100%</f>
        <v>0</v>
      </c>
      <c r="H11" s="1202" t="s">
        <v>515</v>
      </c>
    </row>
    <row r="12" spans="1:8" ht="24.75" customHeight="1" thickBot="1">
      <c r="A12" s="406">
        <v>6</v>
      </c>
      <c r="B12" s="409" t="s">
        <v>103</v>
      </c>
      <c r="C12" s="1178">
        <v>4250000000</v>
      </c>
      <c r="D12" s="1178">
        <v>2882471113</v>
      </c>
      <c r="E12" s="1178">
        <v>2930000000</v>
      </c>
      <c r="F12" s="1186">
        <v>-1320000000</v>
      </c>
      <c r="G12" s="1207">
        <v>-0.31058823529411766</v>
      </c>
      <c r="H12" s="1194" t="s">
        <v>510</v>
      </c>
    </row>
    <row r="13" spans="1:8" ht="24.75" customHeight="1" thickBot="1">
      <c r="A13" s="406">
        <v>7</v>
      </c>
      <c r="B13" s="407" t="s">
        <v>210</v>
      </c>
      <c r="C13" s="1177">
        <v>399174097</v>
      </c>
      <c r="D13" s="518">
        <v>384884426</v>
      </c>
      <c r="E13" s="518">
        <v>391574097</v>
      </c>
      <c r="F13" s="1185">
        <v>-7600000</v>
      </c>
      <c r="G13" s="1208">
        <v>-1.9E-2</v>
      </c>
      <c r="H13" s="408"/>
    </row>
    <row r="14" spans="1:8" ht="24.75" customHeight="1" thickBot="1">
      <c r="A14" s="1766" t="s">
        <v>121</v>
      </c>
      <c r="B14" s="1767"/>
      <c r="C14" s="545">
        <f>SUM(C10:C13)</f>
        <v>7066161559</v>
      </c>
      <c r="D14" s="545">
        <f>SUM(D10:D13)</f>
        <v>5582558493</v>
      </c>
      <c r="E14" s="545">
        <f>SUM(E10:E13)</f>
        <v>5838561559</v>
      </c>
      <c r="F14" s="1187">
        <f>SUM(F10:F13)</f>
        <v>-1227600000</v>
      </c>
      <c r="G14" s="1180">
        <f>F14/C14*100%</f>
        <v>-0.17372939887518357</v>
      </c>
      <c r="H14" s="411"/>
    </row>
    <row r="15" spans="1:8" ht="24.75" customHeight="1" thickBot="1">
      <c r="A15" s="1759" t="s">
        <v>236</v>
      </c>
      <c r="B15" s="1760"/>
      <c r="C15" s="546">
        <f>SUM(C9,C14)</f>
        <v>7480497556</v>
      </c>
      <c r="D15" s="546">
        <f t="shared" ref="D15:E15" si="2">SUM(D9,D14)</f>
        <v>5787757715</v>
      </c>
      <c r="E15" s="546">
        <f t="shared" si="2"/>
        <v>7163450529</v>
      </c>
      <c r="F15" s="1188">
        <f>E15-C15</f>
        <v>-317047027</v>
      </c>
      <c r="G15" s="1181">
        <f>F15/C15*100%</f>
        <v>-4.2383146926597295E-2</v>
      </c>
      <c r="H15" s="410"/>
    </row>
    <row r="17" spans="3:7">
      <c r="C17" s="59"/>
      <c r="D17" s="59"/>
      <c r="E17" s="59"/>
      <c r="F17" s="59"/>
      <c r="G17" s="59"/>
    </row>
    <row r="18" spans="3:7">
      <c r="G18" s="68"/>
    </row>
  </sheetData>
  <mergeCells count="6">
    <mergeCell ref="A15:B15"/>
    <mergeCell ref="A3:H3"/>
    <mergeCell ref="A4:H4"/>
    <mergeCell ref="A2:H2"/>
    <mergeCell ref="A9:B9"/>
    <mergeCell ref="A14:B14"/>
  </mergeCells>
  <phoneticPr fontId="25" type="noConversion"/>
  <pageMargins left="0.25" right="0.25" top="0.75" bottom="0.75" header="0.30000001192092896" footer="0.30000001192092896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2:K123"/>
  <sheetViews>
    <sheetView zoomScale="80" zoomScaleNormal="80" zoomScaleSheetLayoutView="75" workbookViewId="0">
      <selection sqref="A1:XFD1048576"/>
    </sheetView>
  </sheetViews>
  <sheetFormatPr defaultColWidth="8.58203125" defaultRowHeight="17"/>
  <cols>
    <col min="1" max="1" width="17" style="1557" customWidth="1"/>
    <col min="2" max="2" width="15" style="1557" customWidth="1"/>
    <col min="3" max="3" width="22.08203125" style="1557" customWidth="1"/>
    <col min="4" max="4" width="18.25" style="1557" customWidth="1"/>
    <col min="5" max="5" width="18.5" style="1557" customWidth="1"/>
    <col min="6" max="6" width="18.08203125" style="1557" customWidth="1"/>
    <col min="7" max="7" width="21.33203125" style="1557" customWidth="1"/>
    <col min="8" max="8" width="12.25" style="1557" customWidth="1"/>
    <col min="9" max="9" width="50.5" style="1557" customWidth="1"/>
    <col min="10" max="16384" width="8.58203125" style="1557"/>
  </cols>
  <sheetData>
    <row r="2" spans="1:11" ht="29.5" customHeight="1">
      <c r="A2" s="2145" t="s">
        <v>259</v>
      </c>
      <c r="B2" s="2146"/>
      <c r="C2" s="2146"/>
      <c r="D2" s="2146"/>
      <c r="E2" s="2146"/>
      <c r="F2" s="2146"/>
      <c r="G2" s="2146"/>
      <c r="H2" s="2146"/>
      <c r="I2" s="2146"/>
    </row>
    <row r="3" spans="1:11" ht="16.5" customHeight="1">
      <c r="A3" s="2147" t="s">
        <v>350</v>
      </c>
      <c r="B3" s="2147"/>
      <c r="C3" s="2147"/>
      <c r="D3" s="2147"/>
      <c r="E3" s="2147"/>
      <c r="F3" s="2147"/>
      <c r="G3" s="2147"/>
      <c r="H3" s="2147"/>
      <c r="I3" s="2147"/>
    </row>
    <row r="4" spans="1:11" ht="16.5" customHeight="1">
      <c r="A4" s="2147"/>
      <c r="B4" s="2147"/>
      <c r="C4" s="2147"/>
      <c r="D4" s="2147"/>
      <c r="E4" s="2147"/>
      <c r="F4" s="2147"/>
      <c r="G4" s="2147"/>
      <c r="H4" s="2147"/>
      <c r="I4" s="2147"/>
    </row>
    <row r="5" spans="1:11" ht="17.5" thickBot="1">
      <c r="A5" s="2148" t="s">
        <v>6</v>
      </c>
      <c r="B5" s="2148"/>
      <c r="C5" s="2148"/>
      <c r="D5" s="2148"/>
      <c r="E5" s="2148"/>
      <c r="F5" s="2148"/>
      <c r="G5" s="2148"/>
      <c r="H5" s="2148"/>
      <c r="I5" s="2148"/>
    </row>
    <row r="6" spans="1:11" ht="17.5" customHeight="1">
      <c r="A6" s="2149" t="s">
        <v>82</v>
      </c>
      <c r="B6" s="2150"/>
      <c r="C6" s="2150"/>
      <c r="D6" s="2151" t="s">
        <v>283</v>
      </c>
      <c r="E6" s="2151" t="s">
        <v>311</v>
      </c>
      <c r="F6" s="2151" t="s">
        <v>44</v>
      </c>
      <c r="G6" s="2151" t="s">
        <v>108</v>
      </c>
      <c r="H6" s="2153" t="s">
        <v>186</v>
      </c>
      <c r="I6" s="2155" t="s">
        <v>146</v>
      </c>
    </row>
    <row r="7" spans="1:11" ht="18" customHeight="1" thickBot="1">
      <c r="A7" s="1412" t="s">
        <v>78</v>
      </c>
      <c r="B7" s="1413" t="s">
        <v>88</v>
      </c>
      <c r="C7" s="1413" t="s">
        <v>89</v>
      </c>
      <c r="D7" s="2152"/>
      <c r="E7" s="2152"/>
      <c r="F7" s="2152"/>
      <c r="G7" s="2152"/>
      <c r="H7" s="2154"/>
      <c r="I7" s="2156"/>
    </row>
    <row r="8" spans="1:11" ht="16.5" customHeight="1">
      <c r="A8" s="2176" t="s">
        <v>285</v>
      </c>
      <c r="B8" s="2169" t="s">
        <v>136</v>
      </c>
      <c r="C8" s="1437" t="s">
        <v>141</v>
      </c>
      <c r="D8" s="1558"/>
      <c r="E8" s="1558"/>
      <c r="F8" s="1558"/>
      <c r="G8" s="1559">
        <f>F8-D8</f>
        <v>0</v>
      </c>
      <c r="H8" s="1465"/>
      <c r="I8" s="1560"/>
      <c r="K8" s="1557" t="str">
        <f>IF(F8-E8&lt;0,"check","")</f>
        <v/>
      </c>
    </row>
    <row r="9" spans="1:11" ht="16.5" customHeight="1">
      <c r="A9" s="2157"/>
      <c r="B9" s="2159"/>
      <c r="C9" s="1419" t="s">
        <v>239</v>
      </c>
      <c r="D9" s="1420">
        <f>103303800+104761584</f>
        <v>208065384</v>
      </c>
      <c r="E9" s="1421">
        <f>42036130+49737630</f>
        <v>91773760</v>
      </c>
      <c r="F9" s="1421">
        <f>42271040+52570816</f>
        <v>94841856</v>
      </c>
      <c r="G9" s="1561">
        <f t="shared" ref="G9:G20" si="0">F9-D9</f>
        <v>-113223528</v>
      </c>
      <c r="H9" s="1562">
        <f t="shared" ref="H9:H10" si="1">IF(ISERR(G9/D9*100),0,G9/D9*100)</f>
        <v>-54.41728259805101</v>
      </c>
      <c r="I9" s="1422"/>
      <c r="K9" s="1557" t="str">
        <f t="shared" ref="K9:K72" si="2">IF(F9-E9&lt;0,"check","")</f>
        <v/>
      </c>
    </row>
    <row r="10" spans="1:11" ht="16.5" customHeight="1">
      <c r="A10" s="2157"/>
      <c r="B10" s="2159"/>
      <c r="C10" s="1419" t="s">
        <v>187</v>
      </c>
      <c r="D10" s="1420">
        <v>61560000</v>
      </c>
      <c r="E10" s="1421">
        <v>23184600</v>
      </c>
      <c r="F10" s="1421">
        <v>23310000</v>
      </c>
      <c r="G10" s="1561">
        <f t="shared" si="0"/>
        <v>-38250000</v>
      </c>
      <c r="H10" s="1562">
        <f t="shared" si="1"/>
        <v>-62.134502923976612</v>
      </c>
      <c r="I10" s="1422"/>
      <c r="K10" s="1557" t="str">
        <f t="shared" si="2"/>
        <v/>
      </c>
    </row>
    <row r="11" spans="1:11" ht="16.5" customHeight="1">
      <c r="A11" s="2157"/>
      <c r="B11" s="2159"/>
      <c r="C11" s="1419" t="s">
        <v>208</v>
      </c>
      <c r="D11" s="1563"/>
      <c r="E11" s="1421"/>
      <c r="F11" s="1564"/>
      <c r="G11" s="1561">
        <f t="shared" si="0"/>
        <v>0</v>
      </c>
      <c r="H11" s="1562"/>
      <c r="I11" s="1422"/>
      <c r="K11" s="1557" t="str">
        <f t="shared" si="2"/>
        <v/>
      </c>
    </row>
    <row r="12" spans="1:11" ht="16.5" customHeight="1">
      <c r="A12" s="2157"/>
      <c r="B12" s="2160"/>
      <c r="C12" s="1419" t="s">
        <v>204</v>
      </c>
      <c r="D12" s="1420">
        <v>1000000</v>
      </c>
      <c r="E12" s="1421"/>
      <c r="F12" s="1564"/>
      <c r="G12" s="1561">
        <f t="shared" si="0"/>
        <v>-1000000</v>
      </c>
      <c r="H12" s="1562"/>
      <c r="I12" s="1422"/>
      <c r="K12" s="1557" t="str">
        <f t="shared" si="2"/>
        <v/>
      </c>
    </row>
    <row r="13" spans="1:11" ht="16.5" customHeight="1" thickBot="1">
      <c r="A13" s="2158"/>
      <c r="B13" s="2161" t="s">
        <v>71</v>
      </c>
      <c r="C13" s="2161"/>
      <c r="D13" s="1423">
        <f>SUM(D8:D12)</f>
        <v>270625384</v>
      </c>
      <c r="E13" s="1423">
        <f t="shared" ref="E13:F13" si="3">SUM(E8:E12)</f>
        <v>114958360</v>
      </c>
      <c r="F13" s="1423">
        <f t="shared" si="3"/>
        <v>118151856</v>
      </c>
      <c r="G13" s="1565">
        <f t="shared" si="0"/>
        <v>-152473528</v>
      </c>
      <c r="H13" s="1471">
        <f t="shared" ref="H13:H49" si="4">G13/D13*100%</f>
        <v>-0.56341177514966589</v>
      </c>
      <c r="I13" s="1425"/>
      <c r="K13" s="1557" t="str">
        <f t="shared" si="2"/>
        <v/>
      </c>
    </row>
    <row r="14" spans="1:11" ht="16.5" customHeight="1">
      <c r="A14" s="2212" t="s">
        <v>164</v>
      </c>
      <c r="B14" s="2169" t="s">
        <v>164</v>
      </c>
      <c r="C14" s="1437" t="s">
        <v>106</v>
      </c>
      <c r="D14" s="1566"/>
      <c r="E14" s="1566"/>
      <c r="F14" s="1566"/>
      <c r="G14" s="1566">
        <f t="shared" si="0"/>
        <v>0</v>
      </c>
      <c r="H14" s="1465"/>
      <c r="I14" s="1567"/>
      <c r="K14" s="1557" t="str">
        <f t="shared" si="2"/>
        <v/>
      </c>
    </row>
    <row r="15" spans="1:11" ht="16.5" customHeight="1">
      <c r="A15" s="2213"/>
      <c r="B15" s="2159"/>
      <c r="C15" s="1419" t="s">
        <v>111</v>
      </c>
      <c r="D15" s="1568"/>
      <c r="E15" s="1568"/>
      <c r="F15" s="1568"/>
      <c r="G15" s="1416">
        <f t="shared" si="0"/>
        <v>0</v>
      </c>
      <c r="H15" s="1417"/>
      <c r="I15" s="1569"/>
      <c r="J15" s="1570"/>
      <c r="K15" s="1557" t="str">
        <f t="shared" si="2"/>
        <v/>
      </c>
    </row>
    <row r="16" spans="1:11" ht="16.5" customHeight="1">
      <c r="A16" s="2213"/>
      <c r="B16" s="2159"/>
      <c r="C16" s="1419" t="s">
        <v>117</v>
      </c>
      <c r="D16" s="1568"/>
      <c r="E16" s="1568"/>
      <c r="F16" s="1568"/>
      <c r="G16" s="1416">
        <f t="shared" si="0"/>
        <v>0</v>
      </c>
      <c r="H16" s="1417"/>
      <c r="I16" s="1571"/>
      <c r="K16" s="1557" t="str">
        <f t="shared" si="2"/>
        <v/>
      </c>
    </row>
    <row r="17" spans="1:11" ht="16.5" customHeight="1">
      <c r="A17" s="2213"/>
      <c r="B17" s="2159"/>
      <c r="C17" s="1419" t="s">
        <v>112</v>
      </c>
      <c r="D17" s="1568"/>
      <c r="E17" s="1568"/>
      <c r="F17" s="1568"/>
      <c r="G17" s="1416">
        <f t="shared" si="0"/>
        <v>0</v>
      </c>
      <c r="H17" s="1417"/>
      <c r="I17" s="1571"/>
      <c r="K17" s="1557" t="str">
        <f t="shared" si="2"/>
        <v/>
      </c>
    </row>
    <row r="18" spans="1:11" ht="16.5" customHeight="1">
      <c r="A18" s="2213"/>
      <c r="B18" s="2159"/>
      <c r="C18" s="1414" t="s">
        <v>190</v>
      </c>
      <c r="D18" s="1420">
        <v>375000</v>
      </c>
      <c r="E18" s="1421">
        <v>315000</v>
      </c>
      <c r="F18" s="1421">
        <v>318000</v>
      </c>
      <c r="G18" s="1416">
        <f t="shared" si="0"/>
        <v>-57000</v>
      </c>
      <c r="H18" s="1417">
        <f t="shared" si="4"/>
        <v>-0.152</v>
      </c>
      <c r="I18" s="1572"/>
      <c r="K18" s="1557" t="str">
        <f t="shared" si="2"/>
        <v/>
      </c>
    </row>
    <row r="19" spans="1:11" ht="16.5" customHeight="1">
      <c r="A19" s="2213"/>
      <c r="B19" s="2159"/>
      <c r="C19" s="1429" t="s">
        <v>214</v>
      </c>
      <c r="D19" s="1568"/>
      <c r="E19" s="1568"/>
      <c r="F19" s="1568"/>
      <c r="G19" s="1416">
        <f t="shared" si="0"/>
        <v>0</v>
      </c>
      <c r="H19" s="1417"/>
      <c r="I19" s="1572"/>
      <c r="K19" s="1557" t="str">
        <f t="shared" si="2"/>
        <v/>
      </c>
    </row>
    <row r="20" spans="1:11" ht="16.5" customHeight="1">
      <c r="A20" s="2213"/>
      <c r="B20" s="2159"/>
      <c r="C20" s="1429" t="s">
        <v>183</v>
      </c>
      <c r="D20" s="1568"/>
      <c r="E20" s="1568"/>
      <c r="F20" s="1568"/>
      <c r="G20" s="1416">
        <f t="shared" si="0"/>
        <v>0</v>
      </c>
      <c r="H20" s="1417"/>
      <c r="I20" s="1572"/>
      <c r="K20" s="1557" t="str">
        <f t="shared" si="2"/>
        <v/>
      </c>
    </row>
    <row r="21" spans="1:11" ht="16.5" customHeight="1">
      <c r="A21" s="2213"/>
      <c r="B21" s="2160"/>
      <c r="C21" s="1429" t="s">
        <v>195</v>
      </c>
      <c r="D21" s="1430"/>
      <c r="E21" s="1430"/>
      <c r="F21" s="1431"/>
      <c r="G21" s="1431">
        <f>F21-D21</f>
        <v>0</v>
      </c>
      <c r="H21" s="1417"/>
      <c r="I21" s="1432"/>
      <c r="K21" s="1557" t="str">
        <f t="shared" si="2"/>
        <v/>
      </c>
    </row>
    <row r="22" spans="1:11" ht="16.5" customHeight="1" thickBot="1">
      <c r="A22" s="2214"/>
      <c r="B22" s="2164" t="s">
        <v>71</v>
      </c>
      <c r="C22" s="2165"/>
      <c r="D22" s="1470">
        <f>SUM(D14:D21)</f>
        <v>375000</v>
      </c>
      <c r="E22" s="1470">
        <f t="shared" ref="E22:F22" si="5">SUM(E14:E21)</f>
        <v>315000</v>
      </c>
      <c r="F22" s="1470">
        <f t="shared" si="5"/>
        <v>318000</v>
      </c>
      <c r="G22" s="1470">
        <f t="shared" ref="G22:G49" si="6">F22-D22</f>
        <v>-57000</v>
      </c>
      <c r="H22" s="1471">
        <f t="shared" si="4"/>
        <v>-0.152</v>
      </c>
      <c r="I22" s="1436"/>
      <c r="K22" s="1557" t="str">
        <f t="shared" si="2"/>
        <v/>
      </c>
    </row>
    <row r="23" spans="1:11" ht="16.5" customHeight="1">
      <c r="A23" s="2167" t="s">
        <v>197</v>
      </c>
      <c r="B23" s="2159" t="s">
        <v>197</v>
      </c>
      <c r="C23" s="1414" t="s">
        <v>211</v>
      </c>
      <c r="D23" s="1451"/>
      <c r="E23" s="1451"/>
      <c r="F23" s="1451"/>
      <c r="G23" s="1442">
        <f t="shared" si="6"/>
        <v>0</v>
      </c>
      <c r="H23" s="1417"/>
      <c r="I23" s="1467"/>
      <c r="K23" s="1557" t="str">
        <f t="shared" si="2"/>
        <v/>
      </c>
    </row>
    <row r="24" spans="1:11" ht="16.5" customHeight="1">
      <c r="A24" s="2167"/>
      <c r="B24" s="2159"/>
      <c r="C24" s="1419" t="s">
        <v>166</v>
      </c>
      <c r="D24" s="1441"/>
      <c r="E24" s="1441"/>
      <c r="F24" s="1441"/>
      <c r="G24" s="1442">
        <f t="shared" si="6"/>
        <v>0</v>
      </c>
      <c r="H24" s="1417"/>
      <c r="I24" s="1443"/>
      <c r="K24" s="1557" t="str">
        <f t="shared" si="2"/>
        <v/>
      </c>
    </row>
    <row r="25" spans="1:11" ht="16.5" customHeight="1">
      <c r="A25" s="2167"/>
      <c r="B25" s="2159"/>
      <c r="C25" s="1419" t="s">
        <v>163</v>
      </c>
      <c r="D25" s="1441"/>
      <c r="E25" s="1441"/>
      <c r="F25" s="1441"/>
      <c r="G25" s="1442">
        <f t="shared" si="6"/>
        <v>0</v>
      </c>
      <c r="H25" s="1417"/>
      <c r="I25" s="1443"/>
      <c r="K25" s="1557" t="str">
        <f t="shared" si="2"/>
        <v/>
      </c>
    </row>
    <row r="26" spans="1:11" ht="16.5" customHeight="1">
      <c r="A26" s="2167"/>
      <c r="B26" s="2160"/>
      <c r="C26" s="1419" t="s">
        <v>177</v>
      </c>
      <c r="D26" s="1441"/>
      <c r="E26" s="1441"/>
      <c r="F26" s="1441"/>
      <c r="G26" s="1442">
        <f t="shared" si="6"/>
        <v>0</v>
      </c>
      <c r="H26" s="1417"/>
      <c r="I26" s="1443"/>
      <c r="K26" s="1557" t="str">
        <f t="shared" si="2"/>
        <v/>
      </c>
    </row>
    <row r="27" spans="1:11" ht="16.5" customHeight="1" thickBot="1">
      <c r="A27" s="2168"/>
      <c r="B27" s="2170" t="s">
        <v>71</v>
      </c>
      <c r="C27" s="2171"/>
      <c r="D27" s="1573">
        <f>SUM(D23:D26)</f>
        <v>0</v>
      </c>
      <c r="E27" s="1573">
        <f t="shared" ref="E27:F27" si="7">SUM(E23:E26)</f>
        <v>0</v>
      </c>
      <c r="F27" s="1573">
        <f t="shared" si="7"/>
        <v>0</v>
      </c>
      <c r="G27" s="1574">
        <f t="shared" si="6"/>
        <v>0</v>
      </c>
      <c r="H27" s="1471"/>
      <c r="I27" s="1480"/>
      <c r="K27" s="1557" t="str">
        <f t="shared" si="2"/>
        <v/>
      </c>
    </row>
    <row r="28" spans="1:11" ht="16.5" customHeight="1">
      <c r="A28" s="2172" t="s">
        <v>229</v>
      </c>
      <c r="B28" s="2160" t="s">
        <v>229</v>
      </c>
      <c r="C28" s="1449" t="s">
        <v>162</v>
      </c>
      <c r="D28" s="1451"/>
      <c r="E28" s="1451">
        <v>1050000</v>
      </c>
      <c r="F28" s="1451">
        <v>1050000</v>
      </c>
      <c r="G28" s="1431">
        <f t="shared" si="6"/>
        <v>1050000</v>
      </c>
      <c r="H28" s="1417"/>
      <c r="I28" s="1575"/>
      <c r="K28" s="1557" t="str">
        <f t="shared" si="2"/>
        <v/>
      </c>
    </row>
    <row r="29" spans="1:11" ht="16.5" customHeight="1">
      <c r="A29" s="2173"/>
      <c r="B29" s="2175"/>
      <c r="C29" s="1449" t="s">
        <v>174</v>
      </c>
      <c r="D29" s="1472">
        <v>35760000</v>
      </c>
      <c r="E29" s="1430">
        <v>31151554</v>
      </c>
      <c r="F29" s="1431">
        <v>31200000</v>
      </c>
      <c r="G29" s="1431">
        <f t="shared" si="6"/>
        <v>-4560000</v>
      </c>
      <c r="H29" s="1417">
        <f t="shared" si="4"/>
        <v>-0.12751677852348994</v>
      </c>
      <c r="I29" s="1432"/>
      <c r="K29" s="1557" t="str">
        <f t="shared" si="2"/>
        <v/>
      </c>
    </row>
    <row r="30" spans="1:11" ht="16.5" customHeight="1" thickBot="1">
      <c r="A30" s="2174"/>
      <c r="B30" s="2161" t="s">
        <v>71</v>
      </c>
      <c r="C30" s="2161"/>
      <c r="D30" s="1576">
        <f>SUM(D28:D29)</f>
        <v>35760000</v>
      </c>
      <c r="E30" s="1576">
        <f t="shared" ref="E30:F30" si="8">SUM(E28:E29)</f>
        <v>32201554</v>
      </c>
      <c r="F30" s="1577">
        <f t="shared" si="8"/>
        <v>32250000</v>
      </c>
      <c r="G30" s="1577">
        <f t="shared" si="6"/>
        <v>-3510000</v>
      </c>
      <c r="H30" s="1471">
        <f t="shared" si="4"/>
        <v>-9.815436241610738E-2</v>
      </c>
      <c r="I30" s="1436"/>
      <c r="K30" s="1557" t="str">
        <f t="shared" si="2"/>
        <v/>
      </c>
    </row>
    <row r="31" spans="1:11" ht="16.5" customHeight="1">
      <c r="A31" s="2176" t="s">
        <v>241</v>
      </c>
      <c r="B31" s="2159" t="s">
        <v>241</v>
      </c>
      <c r="C31" s="1414" t="s">
        <v>130</v>
      </c>
      <c r="D31" s="1459">
        <f>598611600+650600256</f>
        <v>1249211856</v>
      </c>
      <c r="E31" s="1438">
        <f>259417940+346915600</f>
        <v>606333540</v>
      </c>
      <c r="F31" s="1451">
        <f>259961080+347381344</f>
        <v>607342424</v>
      </c>
      <c r="G31" s="1451">
        <f t="shared" si="6"/>
        <v>-641869432</v>
      </c>
      <c r="H31" s="1417">
        <f t="shared" si="4"/>
        <v>-0.51381951661528258</v>
      </c>
      <c r="I31" s="1467"/>
      <c r="K31" s="1557" t="str">
        <f t="shared" si="2"/>
        <v/>
      </c>
    </row>
    <row r="32" spans="1:11" ht="16.5" customHeight="1">
      <c r="A32" s="2157"/>
      <c r="B32" s="2160"/>
      <c r="C32" s="1419" t="s">
        <v>182</v>
      </c>
      <c r="D32" s="1444">
        <f>84000000+48000000</f>
        <v>132000000</v>
      </c>
      <c r="E32" s="1441">
        <f>57709210+43757490</f>
        <v>101466700</v>
      </c>
      <c r="F32" s="1441">
        <f>57900000+45000000</f>
        <v>102900000</v>
      </c>
      <c r="G32" s="1441">
        <f t="shared" si="6"/>
        <v>-29100000</v>
      </c>
      <c r="H32" s="1417">
        <f t="shared" si="4"/>
        <v>-0.22045454545454546</v>
      </c>
      <c r="I32" s="1462"/>
      <c r="K32" s="1557" t="str">
        <f t="shared" si="2"/>
        <v/>
      </c>
    </row>
    <row r="33" spans="1:11" ht="16.5" customHeight="1" thickBot="1">
      <c r="A33" s="2158"/>
      <c r="B33" s="1578"/>
      <c r="C33" s="1578" t="s">
        <v>71</v>
      </c>
      <c r="D33" s="1573">
        <f>SUM(D31:D32)</f>
        <v>1381211856</v>
      </c>
      <c r="E33" s="1573">
        <f t="shared" ref="E33:F33" si="9">SUM(E31:E32)</f>
        <v>707800240</v>
      </c>
      <c r="F33" s="1573">
        <f t="shared" si="9"/>
        <v>710242424</v>
      </c>
      <c r="G33" s="1579">
        <f t="shared" si="6"/>
        <v>-670969432</v>
      </c>
      <c r="H33" s="1580">
        <f t="shared" si="4"/>
        <v>-0.48578313970105397</v>
      </c>
      <c r="I33" s="1448"/>
      <c r="K33" s="1557" t="str">
        <f t="shared" si="2"/>
        <v/>
      </c>
    </row>
    <row r="34" spans="1:11" ht="16.5" customHeight="1">
      <c r="A34" s="1466"/>
      <c r="B34" s="2159" t="s">
        <v>69</v>
      </c>
      <c r="C34" s="1414" t="s">
        <v>203</v>
      </c>
      <c r="D34" s="1451"/>
      <c r="E34" s="1451"/>
      <c r="F34" s="1451">
        <f>3000000+2000000</f>
        <v>5000000</v>
      </c>
      <c r="G34" s="1438">
        <f t="shared" si="6"/>
        <v>5000000</v>
      </c>
      <c r="H34" s="1417"/>
      <c r="I34" s="1467"/>
      <c r="K34" s="1557" t="str">
        <f t="shared" si="2"/>
        <v/>
      </c>
    </row>
    <row r="35" spans="1:11" ht="16.5" customHeight="1">
      <c r="A35" s="1466"/>
      <c r="B35" s="2159"/>
      <c r="C35" s="1429" t="s">
        <v>128</v>
      </c>
      <c r="D35" s="1451"/>
      <c r="E35" s="1451"/>
      <c r="F35" s="1451"/>
      <c r="G35" s="1451">
        <f t="shared" si="6"/>
        <v>0</v>
      </c>
      <c r="H35" s="1417"/>
      <c r="I35" s="1467"/>
      <c r="K35" s="1557" t="str">
        <f t="shared" si="2"/>
        <v/>
      </c>
    </row>
    <row r="36" spans="1:11" ht="16.5" customHeight="1">
      <c r="A36" s="2178" t="s">
        <v>69</v>
      </c>
      <c r="B36" s="2160"/>
      <c r="C36" s="1429" t="s">
        <v>247</v>
      </c>
      <c r="D36" s="1444">
        <v>10000000</v>
      </c>
      <c r="E36" s="1441"/>
      <c r="F36" s="1441">
        <v>10000000</v>
      </c>
      <c r="G36" s="1451">
        <f t="shared" si="6"/>
        <v>0</v>
      </c>
      <c r="H36" s="1417">
        <f t="shared" si="4"/>
        <v>0</v>
      </c>
      <c r="I36" s="1462"/>
      <c r="K36" s="1557" t="str">
        <f t="shared" si="2"/>
        <v/>
      </c>
    </row>
    <row r="37" spans="1:11" ht="16.5" customHeight="1" thickBot="1">
      <c r="A37" s="2179"/>
      <c r="B37" s="2170" t="s">
        <v>71</v>
      </c>
      <c r="C37" s="2177"/>
      <c r="D37" s="1573">
        <f>SUM(D34:D36)</f>
        <v>10000000</v>
      </c>
      <c r="E37" s="1573">
        <f t="shared" ref="E37:F37" si="10">SUM(E34:E36)</f>
        <v>0</v>
      </c>
      <c r="F37" s="1573">
        <f t="shared" si="10"/>
        <v>15000000</v>
      </c>
      <c r="G37" s="1579">
        <f t="shared" si="6"/>
        <v>5000000</v>
      </c>
      <c r="H37" s="1581">
        <f t="shared" si="4"/>
        <v>0.5</v>
      </c>
      <c r="I37" s="1458"/>
      <c r="K37" s="1557" t="str">
        <f t="shared" si="2"/>
        <v/>
      </c>
    </row>
    <row r="38" spans="1:11" ht="16.5" customHeight="1">
      <c r="A38" s="2180" t="s">
        <v>74</v>
      </c>
      <c r="B38" s="2169" t="s">
        <v>74</v>
      </c>
      <c r="C38" s="1496" t="s">
        <v>159</v>
      </c>
      <c r="D38" s="1488">
        <f>443903764+165000000</f>
        <v>608903764</v>
      </c>
      <c r="E38" s="1542">
        <f>228271324+116285958+123300600+211314029</f>
        <v>679171911</v>
      </c>
      <c r="F38" s="1481">
        <f>467857882+211314029</f>
        <v>679171911</v>
      </c>
      <c r="G38" s="1481">
        <f t="shared" si="6"/>
        <v>70268147</v>
      </c>
      <c r="H38" s="1465">
        <f t="shared" si="4"/>
        <v>0.11540107181863307</v>
      </c>
      <c r="I38" s="1582"/>
      <c r="K38" s="1557" t="str">
        <f t="shared" si="2"/>
        <v/>
      </c>
    </row>
    <row r="39" spans="1:11" ht="16.5" customHeight="1">
      <c r="A39" s="2178"/>
      <c r="B39" s="2160"/>
      <c r="C39" s="1429" t="s">
        <v>101</v>
      </c>
      <c r="D39" s="1583">
        <v>35500000</v>
      </c>
      <c r="E39" s="1476">
        <v>52874342</v>
      </c>
      <c r="F39" s="1434">
        <v>52874342</v>
      </c>
      <c r="G39" s="1431">
        <f t="shared" si="6"/>
        <v>17374342</v>
      </c>
      <c r="H39" s="1417">
        <f t="shared" si="4"/>
        <v>0.48941808450704227</v>
      </c>
      <c r="I39" s="1477"/>
      <c r="K39" s="1557" t="str">
        <f t="shared" si="2"/>
        <v/>
      </c>
    </row>
    <row r="40" spans="1:11" ht="16.5" customHeight="1" thickBot="1">
      <c r="A40" s="2179"/>
      <c r="B40" s="2181" t="s">
        <v>71</v>
      </c>
      <c r="C40" s="2182"/>
      <c r="D40" s="1573">
        <f>SUM(D38:D39)</f>
        <v>644403764</v>
      </c>
      <c r="E40" s="1573">
        <f t="shared" ref="E40:F40" si="11">SUM(E38:E39)</f>
        <v>732046253</v>
      </c>
      <c r="F40" s="1573">
        <f t="shared" si="11"/>
        <v>732046253</v>
      </c>
      <c r="G40" s="1470">
        <f t="shared" si="6"/>
        <v>87642489</v>
      </c>
      <c r="H40" s="1471">
        <f t="shared" si="4"/>
        <v>0.13600555101661385</v>
      </c>
      <c r="I40" s="1448"/>
      <c r="K40" s="1557" t="str">
        <f t="shared" si="2"/>
        <v/>
      </c>
    </row>
    <row r="41" spans="1:11" ht="16.5" customHeight="1">
      <c r="A41" s="2183" t="s">
        <v>61</v>
      </c>
      <c r="B41" s="2186" t="s">
        <v>61</v>
      </c>
      <c r="C41" s="1437" t="s">
        <v>250</v>
      </c>
      <c r="D41" s="1438"/>
      <c r="E41" s="1438"/>
      <c r="F41" s="1438"/>
      <c r="G41" s="1481">
        <f t="shared" si="6"/>
        <v>0</v>
      </c>
      <c r="H41" s="1465"/>
      <c r="I41" s="1440"/>
      <c r="K41" s="1557" t="str">
        <f t="shared" si="2"/>
        <v/>
      </c>
    </row>
    <row r="42" spans="1:11" ht="16.5" customHeight="1">
      <c r="A42" s="2184"/>
      <c r="B42" s="2175"/>
      <c r="C42" s="1419" t="s">
        <v>118</v>
      </c>
      <c r="D42" s="1444">
        <f>500000+150000</f>
        <v>650000</v>
      </c>
      <c r="E42" s="1441">
        <f>132265+94650</f>
        <v>226915</v>
      </c>
      <c r="F42" s="1441">
        <f>7336427+300000</f>
        <v>7636427</v>
      </c>
      <c r="G42" s="1431"/>
      <c r="H42" s="1417">
        <f t="shared" si="4"/>
        <v>0</v>
      </c>
      <c r="I42" s="1462"/>
      <c r="K42" s="1557" t="str">
        <f t="shared" si="2"/>
        <v/>
      </c>
    </row>
    <row r="43" spans="1:11" ht="16.5" customHeight="1">
      <c r="A43" s="2184"/>
      <c r="B43" s="2175"/>
      <c r="C43" s="1419" t="s">
        <v>209</v>
      </c>
      <c r="D43" s="1444">
        <v>16800000</v>
      </c>
      <c r="E43" s="1441">
        <v>6597500</v>
      </c>
      <c r="F43" s="1441">
        <v>6860000</v>
      </c>
      <c r="G43" s="1431">
        <f t="shared" si="6"/>
        <v>-9940000</v>
      </c>
      <c r="H43" s="1417">
        <f t="shared" si="4"/>
        <v>-0.59166666666666667</v>
      </c>
      <c r="I43" s="1462"/>
      <c r="K43" s="1557" t="str">
        <f t="shared" si="2"/>
        <v/>
      </c>
    </row>
    <row r="44" spans="1:11" ht="16.5" customHeight="1">
      <c r="A44" s="2184"/>
      <c r="B44" s="2175"/>
      <c r="C44" s="1419" t="s">
        <v>171</v>
      </c>
      <c r="D44" s="1444">
        <f>685836+488160</f>
        <v>1173996</v>
      </c>
      <c r="E44" s="1441">
        <v>1570420</v>
      </c>
      <c r="F44" s="1441">
        <f>2061229+433811</f>
        <v>2495040</v>
      </c>
      <c r="G44" s="1431">
        <f t="shared" si="6"/>
        <v>1321044</v>
      </c>
      <c r="H44" s="1417">
        <f t="shared" si="4"/>
        <v>1.1252542598100845</v>
      </c>
      <c r="I44" s="1462"/>
      <c r="K44" s="1557" t="str">
        <f t="shared" si="2"/>
        <v/>
      </c>
    </row>
    <row r="45" spans="1:11" ht="16.5" customHeight="1" thickBot="1">
      <c r="A45" s="2185"/>
      <c r="B45" s="2161" t="s">
        <v>71</v>
      </c>
      <c r="C45" s="2161"/>
      <c r="D45" s="1573">
        <f>SUM(D41:D44)</f>
        <v>18623996</v>
      </c>
      <c r="E45" s="1573">
        <f t="shared" ref="E45:F45" si="12">SUM(E41:E44)</f>
        <v>8394835</v>
      </c>
      <c r="F45" s="1573">
        <f t="shared" si="12"/>
        <v>16991467</v>
      </c>
      <c r="G45" s="1470">
        <f t="shared" si="6"/>
        <v>-1632529</v>
      </c>
      <c r="H45" s="1471">
        <f t="shared" si="4"/>
        <v>-8.7657289015740769E-2</v>
      </c>
      <c r="I45" s="1448"/>
      <c r="K45" s="1557" t="str">
        <f t="shared" si="2"/>
        <v/>
      </c>
    </row>
    <row r="46" spans="1:11" ht="16.5" customHeight="1">
      <c r="A46" s="2172" t="s">
        <v>129</v>
      </c>
      <c r="B46" s="2160" t="s">
        <v>53</v>
      </c>
      <c r="C46" s="1414" t="s">
        <v>152</v>
      </c>
      <c r="D46" s="1444">
        <v>6000000</v>
      </c>
      <c r="E46" s="1441">
        <v>6000000</v>
      </c>
      <c r="F46" s="1441">
        <v>6000000</v>
      </c>
      <c r="G46" s="1431">
        <f t="shared" si="6"/>
        <v>0</v>
      </c>
      <c r="H46" s="1417">
        <f t="shared" si="4"/>
        <v>0</v>
      </c>
      <c r="I46" s="1467"/>
      <c r="K46" s="1557" t="str">
        <f t="shared" si="2"/>
        <v/>
      </c>
    </row>
    <row r="47" spans="1:11" ht="16.5" customHeight="1">
      <c r="A47" s="2173"/>
      <c r="B47" s="2175"/>
      <c r="C47" s="1419" t="s">
        <v>139</v>
      </c>
      <c r="D47" s="1444">
        <v>6000000</v>
      </c>
      <c r="E47" s="1441">
        <v>6000000</v>
      </c>
      <c r="F47" s="1441">
        <v>6000000</v>
      </c>
      <c r="G47" s="1431">
        <f t="shared" si="6"/>
        <v>0</v>
      </c>
      <c r="H47" s="1417">
        <f t="shared" si="4"/>
        <v>0</v>
      </c>
      <c r="I47" s="1462"/>
      <c r="K47" s="1557" t="str">
        <f t="shared" si="2"/>
        <v/>
      </c>
    </row>
    <row r="48" spans="1:11" ht="16.5" customHeight="1" thickBot="1">
      <c r="A48" s="2189"/>
      <c r="B48" s="2161" t="s">
        <v>71</v>
      </c>
      <c r="C48" s="2161"/>
      <c r="D48" s="1573">
        <f>SUM(D46:D47)</f>
        <v>12000000</v>
      </c>
      <c r="E48" s="1573">
        <f t="shared" ref="E48:F48" si="13">SUM(E46:E47)</f>
        <v>12000000</v>
      </c>
      <c r="F48" s="1573">
        <f t="shared" si="13"/>
        <v>12000000</v>
      </c>
      <c r="G48" s="1470">
        <f t="shared" si="6"/>
        <v>0</v>
      </c>
      <c r="H48" s="1471">
        <f t="shared" si="4"/>
        <v>0</v>
      </c>
      <c r="I48" s="1482"/>
      <c r="K48" s="1557" t="str">
        <f t="shared" si="2"/>
        <v/>
      </c>
    </row>
    <row r="49" spans="1:11" ht="18" thickBot="1">
      <c r="A49" s="2191" t="s">
        <v>76</v>
      </c>
      <c r="B49" s="2192"/>
      <c r="C49" s="2193"/>
      <c r="D49" s="1555">
        <f>SUM(D13,D22,D27,D30,D33,D37,D40,D45,D48)</f>
        <v>2373000000</v>
      </c>
      <c r="E49" s="1555">
        <f t="shared" ref="E49:F49" si="14">SUM(E13,E22,E27,E30,E33,E37,E40,E45,E48)</f>
        <v>1607716242</v>
      </c>
      <c r="F49" s="1555">
        <f t="shared" si="14"/>
        <v>1637000000</v>
      </c>
      <c r="G49" s="1584">
        <f t="shared" si="6"/>
        <v>-736000000</v>
      </c>
      <c r="H49" s="1585">
        <f t="shared" si="4"/>
        <v>-0.31015592077538978</v>
      </c>
      <c r="I49" s="1485"/>
      <c r="K49" s="1557" t="str">
        <f t="shared" si="2"/>
        <v/>
      </c>
    </row>
    <row r="50" spans="1:11" ht="17.5" thickBot="1">
      <c r="A50" s="2194" t="s">
        <v>25</v>
      </c>
      <c r="B50" s="2195"/>
      <c r="C50" s="2195"/>
      <c r="D50" s="2195"/>
      <c r="E50" s="2195"/>
      <c r="F50" s="2195"/>
      <c r="G50" s="2195"/>
      <c r="H50" s="2195"/>
      <c r="I50" s="2196"/>
      <c r="K50" s="1557" t="str">
        <f t="shared" si="2"/>
        <v/>
      </c>
    </row>
    <row r="51" spans="1:11" ht="17.5" customHeight="1">
      <c r="A51" s="2149" t="s">
        <v>82</v>
      </c>
      <c r="B51" s="2150"/>
      <c r="C51" s="2150"/>
      <c r="D51" s="2151" t="s">
        <v>283</v>
      </c>
      <c r="E51" s="2151" t="s">
        <v>351</v>
      </c>
      <c r="F51" s="2151" t="s">
        <v>44</v>
      </c>
      <c r="G51" s="2151" t="s">
        <v>108</v>
      </c>
      <c r="H51" s="2153" t="s">
        <v>186</v>
      </c>
      <c r="I51" s="2155" t="s">
        <v>146</v>
      </c>
    </row>
    <row r="52" spans="1:11" ht="18" customHeight="1" thickBot="1">
      <c r="A52" s="1412" t="s">
        <v>78</v>
      </c>
      <c r="B52" s="1413" t="s">
        <v>88</v>
      </c>
      <c r="C52" s="1413" t="s">
        <v>89</v>
      </c>
      <c r="D52" s="2152"/>
      <c r="E52" s="2152"/>
      <c r="F52" s="2152"/>
      <c r="G52" s="2152"/>
      <c r="H52" s="2154"/>
      <c r="I52" s="2156"/>
      <c r="K52" s="1557" t="str">
        <f t="shared" si="2"/>
        <v/>
      </c>
    </row>
    <row r="53" spans="1:11" ht="16.5" customHeight="1">
      <c r="A53" s="1486" t="s">
        <v>93</v>
      </c>
      <c r="B53" s="2186" t="s">
        <v>62</v>
      </c>
      <c r="C53" s="1487" t="s">
        <v>91</v>
      </c>
      <c r="D53" s="1488">
        <f>512874960+433759200</f>
        <v>946634160</v>
      </c>
      <c r="E53" s="1481">
        <f>245531440+230410970</f>
        <v>475942410</v>
      </c>
      <c r="F53" s="1481">
        <f>256236990+238522600</f>
        <v>494759590</v>
      </c>
      <c r="G53" s="1481">
        <f>F53-D53</f>
        <v>-451874570</v>
      </c>
      <c r="H53" s="1586">
        <f>G53/D53*100%</f>
        <v>-0.47734868346606041</v>
      </c>
      <c r="I53" s="1490"/>
      <c r="K53" s="1557" t="str">
        <f t="shared" si="2"/>
        <v/>
      </c>
    </row>
    <row r="54" spans="1:11" ht="16.5" customHeight="1">
      <c r="A54" s="1491"/>
      <c r="B54" s="2175"/>
      <c r="C54" s="1492" t="s">
        <v>67</v>
      </c>
      <c r="D54" s="1472">
        <f>79171080+149840660</f>
        <v>229011740</v>
      </c>
      <c r="E54" s="1431">
        <f>79736510+120829482</f>
        <v>200565992</v>
      </c>
      <c r="F54" s="1431">
        <f>91664530+133856600</f>
        <v>225521130</v>
      </c>
      <c r="G54" s="1431">
        <f t="shared" ref="G54:G119" si="15">F54-D54</f>
        <v>-3490610</v>
      </c>
      <c r="H54" s="1545">
        <f t="shared" ref="H54:H113" si="16">G54/D54*100%</f>
        <v>-1.524205702292817E-2</v>
      </c>
      <c r="I54" s="1432"/>
      <c r="K54" s="1557" t="str">
        <f t="shared" si="2"/>
        <v/>
      </c>
    </row>
    <row r="55" spans="1:11" ht="16.5" customHeight="1">
      <c r="A55" s="1491"/>
      <c r="B55" s="2175"/>
      <c r="C55" s="1492" t="s">
        <v>212</v>
      </c>
      <c r="D55" s="1472">
        <v>2000000</v>
      </c>
      <c r="E55" s="1431">
        <v>1652780</v>
      </c>
      <c r="F55" s="1431">
        <v>1700000</v>
      </c>
      <c r="G55" s="1431">
        <f t="shared" si="15"/>
        <v>-300000</v>
      </c>
      <c r="H55" s="1545">
        <f t="shared" si="16"/>
        <v>-0.15</v>
      </c>
      <c r="I55" s="1432"/>
      <c r="K55" s="1557" t="str">
        <f t="shared" si="2"/>
        <v/>
      </c>
    </row>
    <row r="56" spans="1:11" ht="16.5" customHeight="1">
      <c r="A56" s="1491"/>
      <c r="B56" s="2175"/>
      <c r="C56" s="1492" t="s">
        <v>98</v>
      </c>
      <c r="D56" s="1472">
        <f>49337250+48633330</f>
        <v>97970580</v>
      </c>
      <c r="E56" s="1431">
        <f>20889028+21651003</f>
        <v>42540031</v>
      </c>
      <c r="F56" s="1431">
        <f>25991800+26531600</f>
        <v>52523400</v>
      </c>
      <c r="G56" s="1431">
        <f t="shared" si="15"/>
        <v>-45447180</v>
      </c>
      <c r="H56" s="1545">
        <f t="shared" si="16"/>
        <v>-0.46388599516303775</v>
      </c>
      <c r="I56" s="1432"/>
      <c r="K56" s="1557" t="str">
        <f t="shared" si="2"/>
        <v/>
      </c>
    </row>
    <row r="57" spans="1:11" ht="16.5" customHeight="1">
      <c r="A57" s="1491"/>
      <c r="B57" s="2175"/>
      <c r="C57" s="1492" t="s">
        <v>180</v>
      </c>
      <c r="D57" s="1472">
        <f>62494010+61978330</f>
        <v>124472340</v>
      </c>
      <c r="E57" s="1431">
        <f>27002720+30466720</f>
        <v>57469440</v>
      </c>
      <c r="F57" s="1431">
        <f>31658100+35866710</f>
        <v>67524810</v>
      </c>
      <c r="G57" s="1431">
        <f t="shared" si="15"/>
        <v>-56947530</v>
      </c>
      <c r="H57" s="1545">
        <f t="shared" si="16"/>
        <v>-0.4575115242470737</v>
      </c>
      <c r="I57" s="1432"/>
      <c r="K57" s="1557" t="str">
        <f t="shared" si="2"/>
        <v/>
      </c>
    </row>
    <row r="58" spans="1:11" ht="16.5" customHeight="1">
      <c r="A58" s="1491"/>
      <c r="B58" s="2175"/>
      <c r="C58" s="1492" t="s">
        <v>176</v>
      </c>
      <c r="D58" s="1431"/>
      <c r="E58" s="1431"/>
      <c r="F58" s="1431"/>
      <c r="G58" s="1431">
        <f t="shared" si="15"/>
        <v>0</v>
      </c>
      <c r="H58" s="1545"/>
      <c r="I58" s="1432"/>
      <c r="K58" s="1557" t="str">
        <f t="shared" si="2"/>
        <v/>
      </c>
    </row>
    <row r="59" spans="1:11" ht="16.5" customHeight="1" thickBot="1">
      <c r="A59" s="1491"/>
      <c r="B59" s="2197"/>
      <c r="C59" s="1494" t="s">
        <v>96</v>
      </c>
      <c r="D59" s="1455">
        <f>SUM(D53:D58)</f>
        <v>1400088820</v>
      </c>
      <c r="E59" s="1455">
        <f t="shared" ref="E59:F59" si="17">SUM(E53:E58)</f>
        <v>778170653</v>
      </c>
      <c r="F59" s="1455">
        <f t="shared" si="17"/>
        <v>842028930</v>
      </c>
      <c r="G59" s="1478">
        <f t="shared" si="15"/>
        <v>-558059890</v>
      </c>
      <c r="H59" s="1513">
        <f t="shared" si="16"/>
        <v>-0.39858891952297715</v>
      </c>
      <c r="I59" s="1458"/>
      <c r="K59" s="1557" t="str">
        <f t="shared" si="2"/>
        <v/>
      </c>
    </row>
    <row r="60" spans="1:11" ht="16.5" customHeight="1">
      <c r="A60" s="1491"/>
      <c r="B60" s="2186" t="s">
        <v>193</v>
      </c>
      <c r="C60" s="1496" t="s">
        <v>148</v>
      </c>
      <c r="D60" s="1587">
        <f>2400000+3600000</f>
        <v>6000000</v>
      </c>
      <c r="E60" s="1481">
        <f>614100+424200</f>
        <v>1038300</v>
      </c>
      <c r="F60" s="1481">
        <f>660000+440000</f>
        <v>1100000</v>
      </c>
      <c r="G60" s="1481">
        <f t="shared" si="15"/>
        <v>-4900000</v>
      </c>
      <c r="H60" s="1586">
        <f t="shared" si="16"/>
        <v>-0.81666666666666665</v>
      </c>
      <c r="I60" s="1490"/>
      <c r="K60" s="1557" t="str">
        <f t="shared" si="2"/>
        <v/>
      </c>
    </row>
    <row r="61" spans="1:11" ht="16.5" customHeight="1">
      <c r="A61" s="1491"/>
      <c r="B61" s="2175"/>
      <c r="C61" s="1498" t="s">
        <v>253</v>
      </c>
      <c r="D61" s="1472">
        <v>3000000</v>
      </c>
      <c r="E61" s="1431">
        <v>2500000</v>
      </c>
      <c r="F61" s="1431">
        <v>3000000</v>
      </c>
      <c r="G61" s="1431">
        <f t="shared" si="15"/>
        <v>0</v>
      </c>
      <c r="H61" s="1545">
        <f t="shared" si="16"/>
        <v>0</v>
      </c>
      <c r="I61" s="1432"/>
      <c r="K61" s="1557" t="str">
        <f t="shared" si="2"/>
        <v/>
      </c>
    </row>
    <row r="62" spans="1:11" ht="16.5" customHeight="1">
      <c r="A62" s="1491"/>
      <c r="B62" s="2175"/>
      <c r="C62" s="1492" t="s">
        <v>83</v>
      </c>
      <c r="D62" s="1472">
        <f>6220000+16320000</f>
        <v>22540000</v>
      </c>
      <c r="E62" s="1431">
        <f>1211500+1853000</f>
        <v>3064500</v>
      </c>
      <c r="F62" s="1431">
        <f>1917000+3160000</f>
        <v>5077000</v>
      </c>
      <c r="G62" s="1431">
        <f t="shared" si="15"/>
        <v>-17463000</v>
      </c>
      <c r="H62" s="1545">
        <f t="shared" si="16"/>
        <v>-0.77475598935226264</v>
      </c>
      <c r="I62" s="1432"/>
      <c r="K62" s="1557" t="str">
        <f t="shared" si="2"/>
        <v/>
      </c>
    </row>
    <row r="63" spans="1:11" ht="16.5" customHeight="1" thickBot="1">
      <c r="A63" s="1491"/>
      <c r="B63" s="2197"/>
      <c r="C63" s="1494" t="s">
        <v>96</v>
      </c>
      <c r="D63" s="1455">
        <f>SUM(D60:D62)</f>
        <v>31540000</v>
      </c>
      <c r="E63" s="1455">
        <f t="shared" ref="E63:F63" si="18">SUM(E60:E62)</f>
        <v>6602800</v>
      </c>
      <c r="F63" s="1455">
        <f t="shared" si="18"/>
        <v>9177000</v>
      </c>
      <c r="G63" s="1478">
        <f t="shared" si="15"/>
        <v>-22363000</v>
      </c>
      <c r="H63" s="1513">
        <f t="shared" si="16"/>
        <v>-0.70903614457831321</v>
      </c>
      <c r="I63" s="1436"/>
      <c r="K63" s="1557" t="str">
        <f t="shared" si="2"/>
        <v/>
      </c>
    </row>
    <row r="64" spans="1:11" ht="16.5" customHeight="1">
      <c r="A64" s="1491"/>
      <c r="B64" s="2186" t="s">
        <v>77</v>
      </c>
      <c r="C64" s="1487" t="s">
        <v>60</v>
      </c>
      <c r="D64" s="1472">
        <f>2180000+2200000</f>
        <v>4380000</v>
      </c>
      <c r="E64" s="1588">
        <f>57500+600000</f>
        <v>657500</v>
      </c>
      <c r="F64" s="1481">
        <f>60000+600000</f>
        <v>660000</v>
      </c>
      <c r="G64" s="1481">
        <f t="shared" si="15"/>
        <v>-3720000</v>
      </c>
      <c r="H64" s="1586">
        <f t="shared" si="16"/>
        <v>-0.84931506849315064</v>
      </c>
      <c r="I64" s="1490"/>
      <c r="K64" s="1557" t="str">
        <f t="shared" si="2"/>
        <v/>
      </c>
    </row>
    <row r="65" spans="1:11" ht="16.5" customHeight="1">
      <c r="A65" s="1491"/>
      <c r="B65" s="2175"/>
      <c r="C65" s="1492" t="s">
        <v>97</v>
      </c>
      <c r="D65" s="1501">
        <f>22380000+16500000</f>
        <v>38880000</v>
      </c>
      <c r="E65" s="1502">
        <f>12732910+317670</f>
        <v>13050580</v>
      </c>
      <c r="F65" s="1430">
        <f>13811000+500000</f>
        <v>14311000</v>
      </c>
      <c r="G65" s="1431">
        <f t="shared" si="15"/>
        <v>-24569000</v>
      </c>
      <c r="H65" s="1545">
        <f t="shared" si="16"/>
        <v>-0.63191872427983542</v>
      </c>
      <c r="I65" s="1432"/>
      <c r="K65" s="1557" t="str">
        <f t="shared" si="2"/>
        <v/>
      </c>
    </row>
    <row r="66" spans="1:11" ht="16.5" customHeight="1">
      <c r="A66" s="1491"/>
      <c r="B66" s="2175"/>
      <c r="C66" s="1492" t="s">
        <v>161</v>
      </c>
      <c r="D66" s="1501">
        <f>95200000+56500000</f>
        <v>151700000</v>
      </c>
      <c r="E66" s="1441">
        <f>52243566+34898680</f>
        <v>87142246</v>
      </c>
      <c r="F66" s="1430">
        <f>53815000+35160000</f>
        <v>88975000</v>
      </c>
      <c r="G66" s="1431">
        <f t="shared" si="15"/>
        <v>-62725000</v>
      </c>
      <c r="H66" s="1545">
        <f t="shared" si="16"/>
        <v>-0.41348055372445619</v>
      </c>
      <c r="I66" s="1432"/>
      <c r="K66" s="1557" t="str">
        <f t="shared" si="2"/>
        <v/>
      </c>
    </row>
    <row r="67" spans="1:11" ht="16.5" customHeight="1">
      <c r="A67" s="1491"/>
      <c r="B67" s="2175"/>
      <c r="C67" s="1492" t="s">
        <v>168</v>
      </c>
      <c r="D67" s="1501"/>
      <c r="E67" s="1441"/>
      <c r="F67" s="1430"/>
      <c r="G67" s="1431">
        <f t="shared" si="15"/>
        <v>0</v>
      </c>
      <c r="H67" s="1545"/>
      <c r="I67" s="1432"/>
      <c r="K67" s="1557" t="str">
        <f t="shared" si="2"/>
        <v/>
      </c>
    </row>
    <row r="68" spans="1:11" ht="16.5" customHeight="1">
      <c r="A68" s="1503"/>
      <c r="B68" s="2175"/>
      <c r="C68" s="1492" t="s">
        <v>68</v>
      </c>
      <c r="D68" s="1589">
        <f>47500000+3200000</f>
        <v>50700000</v>
      </c>
      <c r="E68" s="1502">
        <f>5114700+252000</f>
        <v>5366700</v>
      </c>
      <c r="F68" s="1476">
        <f>5120000+500000</f>
        <v>5620000</v>
      </c>
      <c r="G68" s="1434">
        <f t="shared" si="15"/>
        <v>-45080000</v>
      </c>
      <c r="H68" s="1545">
        <f t="shared" si="16"/>
        <v>-0.88915187376725835</v>
      </c>
      <c r="I68" s="1506"/>
      <c r="K68" s="1557" t="str">
        <f t="shared" si="2"/>
        <v/>
      </c>
    </row>
    <row r="69" spans="1:11" ht="16.5" customHeight="1">
      <c r="A69" s="1503"/>
      <c r="B69" s="2175"/>
      <c r="C69" s="1429" t="s">
        <v>70</v>
      </c>
      <c r="D69" s="1444"/>
      <c r="E69" s="1441"/>
      <c r="F69" s="1441"/>
      <c r="G69" s="1441">
        <f t="shared" si="15"/>
        <v>0</v>
      </c>
      <c r="H69" s="1545"/>
      <c r="I69" s="1462"/>
      <c r="K69" s="1557" t="str">
        <f t="shared" si="2"/>
        <v/>
      </c>
    </row>
    <row r="70" spans="1:11" ht="16.5" customHeight="1">
      <c r="A70" s="1503"/>
      <c r="B70" s="2175"/>
      <c r="C70" s="1429" t="s">
        <v>151</v>
      </c>
      <c r="D70" s="1444">
        <f>24000000+48150000</f>
        <v>72150000</v>
      </c>
      <c r="E70" s="1441">
        <f>3673060+7639900</f>
        <v>11312960</v>
      </c>
      <c r="F70" s="1441">
        <f>5400000+12000000</f>
        <v>17400000</v>
      </c>
      <c r="G70" s="1441">
        <f t="shared" si="15"/>
        <v>-54750000</v>
      </c>
      <c r="H70" s="1545">
        <f t="shared" si="16"/>
        <v>-0.75883575883575882</v>
      </c>
      <c r="I70" s="1462"/>
      <c r="K70" s="1557" t="str">
        <f t="shared" si="2"/>
        <v/>
      </c>
    </row>
    <row r="71" spans="1:11" ht="16.5" customHeight="1" thickBot="1">
      <c r="A71" s="1503"/>
      <c r="B71" s="2197"/>
      <c r="C71" s="1590" t="s">
        <v>96</v>
      </c>
      <c r="D71" s="1591">
        <f>SUM(D64:D70)</f>
        <v>317810000</v>
      </c>
      <c r="E71" s="1591">
        <f t="shared" ref="E71:F71" si="19">SUM(E64:E70)</f>
        <v>117529986</v>
      </c>
      <c r="F71" s="1591">
        <f t="shared" si="19"/>
        <v>126966000</v>
      </c>
      <c r="G71" s="1478">
        <f t="shared" si="15"/>
        <v>-190844000</v>
      </c>
      <c r="H71" s="1513">
        <f t="shared" si="16"/>
        <v>-0.60049715238664614</v>
      </c>
      <c r="I71" s="1436"/>
      <c r="K71" s="1557" t="str">
        <f t="shared" si="2"/>
        <v/>
      </c>
    </row>
    <row r="72" spans="1:11" ht="16.5" customHeight="1" thickBot="1">
      <c r="A72" s="1512" t="s">
        <v>72</v>
      </c>
      <c r="B72" s="2187" t="s">
        <v>71</v>
      </c>
      <c r="C72" s="2188"/>
      <c r="D72" s="1513">
        <f>SUM(D59,D63,D71)</f>
        <v>1749438820</v>
      </c>
      <c r="E72" s="1478">
        <f t="shared" ref="E72:F72" si="20">SUM(E59,E63,E71)</f>
        <v>902303439</v>
      </c>
      <c r="F72" s="1513">
        <f t="shared" si="20"/>
        <v>978171930</v>
      </c>
      <c r="G72" s="1478">
        <f t="shared" si="15"/>
        <v>-771266890</v>
      </c>
      <c r="H72" s="1478">
        <f t="shared" si="16"/>
        <v>-0.44086531131165824</v>
      </c>
      <c r="I72" s="1436"/>
      <c r="K72" s="1557" t="str">
        <f t="shared" si="2"/>
        <v/>
      </c>
    </row>
    <row r="73" spans="1:11" ht="16.5" customHeight="1">
      <c r="A73" s="2172" t="s">
        <v>230</v>
      </c>
      <c r="B73" s="2160" t="s">
        <v>90</v>
      </c>
      <c r="C73" s="1449" t="s">
        <v>147</v>
      </c>
      <c r="D73" s="1592">
        <f>10000000+29000000</f>
        <v>39000000</v>
      </c>
      <c r="E73" s="1438">
        <v>159800</v>
      </c>
      <c r="F73" s="1593">
        <v>170000</v>
      </c>
      <c r="G73" s="1516">
        <f t="shared" si="15"/>
        <v>-38830000</v>
      </c>
      <c r="H73" s="1545">
        <f t="shared" si="16"/>
        <v>-0.99564102564102563</v>
      </c>
      <c r="I73" s="1432"/>
      <c r="K73" s="1557" t="str">
        <f t="shared" ref="K73:K120" si="21">IF(F73-E73&lt;0,"check","")</f>
        <v/>
      </c>
    </row>
    <row r="74" spans="1:11" ht="16.5" customHeight="1">
      <c r="A74" s="2172"/>
      <c r="B74" s="2160"/>
      <c r="C74" s="1449" t="s">
        <v>90</v>
      </c>
      <c r="D74" s="1459">
        <f>14000000+15000000</f>
        <v>29000000</v>
      </c>
      <c r="E74" s="1451"/>
      <c r="F74" s="1451"/>
      <c r="G74" s="1431">
        <f t="shared" si="15"/>
        <v>-29000000</v>
      </c>
      <c r="H74" s="1545">
        <f t="shared" si="16"/>
        <v>-1</v>
      </c>
      <c r="I74" s="1432"/>
      <c r="K74" s="1557" t="str">
        <f t="shared" si="21"/>
        <v/>
      </c>
    </row>
    <row r="75" spans="1:11" ht="16.5" customHeight="1">
      <c r="A75" s="2173"/>
      <c r="B75" s="2175"/>
      <c r="C75" s="1429" t="s">
        <v>99</v>
      </c>
      <c r="D75" s="1501">
        <f>21292000+11600000</f>
        <v>32892000</v>
      </c>
      <c r="E75" s="1441">
        <v>14010300</v>
      </c>
      <c r="F75" s="1430">
        <v>15792000</v>
      </c>
      <c r="G75" s="1431">
        <f t="shared" si="15"/>
        <v>-17100000</v>
      </c>
      <c r="H75" s="1545">
        <f t="shared" si="16"/>
        <v>-0.51988325428675664</v>
      </c>
      <c r="I75" s="1432"/>
      <c r="K75" s="1557" t="str">
        <f t="shared" si="21"/>
        <v/>
      </c>
    </row>
    <row r="76" spans="1:11" ht="16.5" customHeight="1" thickBot="1">
      <c r="A76" s="2174"/>
      <c r="B76" s="2198" t="s">
        <v>71</v>
      </c>
      <c r="C76" s="2199"/>
      <c r="D76" s="1518">
        <f>SUM(D73:D75)</f>
        <v>100892000</v>
      </c>
      <c r="E76" s="1518">
        <f t="shared" ref="E76:F76" si="22">SUM(E73:E75)</f>
        <v>14170100</v>
      </c>
      <c r="F76" s="1518">
        <f t="shared" si="22"/>
        <v>15962000</v>
      </c>
      <c r="G76" s="1478">
        <f t="shared" si="15"/>
        <v>-84930000</v>
      </c>
      <c r="H76" s="1456">
        <f t="shared" si="16"/>
        <v>-0.84179122229710979</v>
      </c>
      <c r="I76" s="1458"/>
      <c r="K76" s="1557" t="str">
        <f t="shared" si="21"/>
        <v/>
      </c>
    </row>
    <row r="77" spans="1:11" ht="16.5" customHeight="1">
      <c r="A77" s="2180" t="s">
        <v>95</v>
      </c>
      <c r="B77" s="2200" t="s">
        <v>77</v>
      </c>
      <c r="C77" s="1519" t="s">
        <v>73</v>
      </c>
      <c r="D77" s="1594">
        <f>48830000+16800000</f>
        <v>65630000</v>
      </c>
      <c r="E77" s="1438">
        <f>18112500+9501649</f>
        <v>27614149</v>
      </c>
      <c r="F77" s="1595">
        <f>19740000+9660000</f>
        <v>29400000</v>
      </c>
      <c r="G77" s="1438">
        <f t="shared" si="15"/>
        <v>-36230000</v>
      </c>
      <c r="H77" s="1586">
        <f t="shared" si="16"/>
        <v>-0.55203413073289653</v>
      </c>
      <c r="I77" s="1440"/>
      <c r="K77" s="1557" t="str">
        <f t="shared" si="21"/>
        <v/>
      </c>
    </row>
    <row r="78" spans="1:11" ht="16.5" customHeight="1">
      <c r="A78" s="2178"/>
      <c r="B78" s="2201"/>
      <c r="C78" s="1521" t="s">
        <v>237</v>
      </c>
      <c r="D78" s="1596">
        <v>6600000</v>
      </c>
      <c r="E78" s="1451"/>
      <c r="F78" s="1597"/>
      <c r="G78" s="1441">
        <f t="shared" si="15"/>
        <v>-6600000</v>
      </c>
      <c r="H78" s="1545">
        <f t="shared" si="16"/>
        <v>-1</v>
      </c>
      <c r="I78" s="1467"/>
      <c r="K78" s="1557" t="str">
        <f t="shared" si="21"/>
        <v/>
      </c>
    </row>
    <row r="79" spans="1:11" ht="16.5" customHeight="1">
      <c r="A79" s="2178"/>
      <c r="B79" s="2201"/>
      <c r="C79" s="1521" t="s">
        <v>87</v>
      </c>
      <c r="D79" s="1596"/>
      <c r="E79" s="1451"/>
      <c r="F79" s="1597"/>
      <c r="G79" s="1441">
        <f t="shared" si="15"/>
        <v>0</v>
      </c>
      <c r="H79" s="1545"/>
      <c r="I79" s="1467"/>
      <c r="K79" s="1557" t="str">
        <f t="shared" si="21"/>
        <v/>
      </c>
    </row>
    <row r="80" spans="1:11" ht="16.5" customHeight="1">
      <c r="A80" s="2178"/>
      <c r="B80" s="2201"/>
      <c r="C80" s="1522" t="s">
        <v>64</v>
      </c>
      <c r="D80" s="1596">
        <v>4000000</v>
      </c>
      <c r="E80" s="1441">
        <v>56300</v>
      </c>
      <c r="F80" s="1597">
        <v>60000</v>
      </c>
      <c r="G80" s="1441">
        <f t="shared" si="15"/>
        <v>-3940000</v>
      </c>
      <c r="H80" s="1545">
        <f t="shared" si="16"/>
        <v>-0.98499999999999999</v>
      </c>
      <c r="I80" s="1462"/>
      <c r="K80" s="1557" t="str">
        <f t="shared" si="21"/>
        <v/>
      </c>
    </row>
    <row r="81" spans="1:11" ht="16.5" customHeight="1">
      <c r="A81" s="2178"/>
      <c r="B81" s="2201"/>
      <c r="C81" s="1522" t="s">
        <v>243</v>
      </c>
      <c r="D81" s="1596">
        <v>13380000</v>
      </c>
      <c r="E81" s="1441">
        <v>5175000</v>
      </c>
      <c r="F81" s="1597">
        <v>5200000</v>
      </c>
      <c r="G81" s="1441">
        <f t="shared" si="15"/>
        <v>-8180000</v>
      </c>
      <c r="H81" s="1545">
        <f t="shared" si="16"/>
        <v>-0.6113602391629297</v>
      </c>
      <c r="I81" s="1462"/>
      <c r="K81" s="1557" t="str">
        <f t="shared" si="21"/>
        <v/>
      </c>
    </row>
    <row r="82" spans="1:11" ht="16.5" customHeight="1" thickBot="1">
      <c r="A82" s="2178"/>
      <c r="B82" s="2202"/>
      <c r="C82" s="1523" t="s">
        <v>96</v>
      </c>
      <c r="D82" s="1445">
        <f>SUM(D77:D81)</f>
        <v>89610000</v>
      </c>
      <c r="E82" s="1445">
        <f t="shared" ref="E82:F82" si="23">SUM(E77:E81)</f>
        <v>32845449</v>
      </c>
      <c r="F82" s="1445">
        <f t="shared" si="23"/>
        <v>34660000</v>
      </c>
      <c r="G82" s="1445">
        <f t="shared" si="15"/>
        <v>-54950000</v>
      </c>
      <c r="H82" s="1513">
        <f t="shared" si="16"/>
        <v>-0.6132128110701931</v>
      </c>
      <c r="I82" s="1448"/>
      <c r="K82" s="1557" t="str">
        <f t="shared" si="21"/>
        <v/>
      </c>
    </row>
    <row r="83" spans="1:11" ht="16.5" customHeight="1">
      <c r="A83" s="2178"/>
      <c r="B83" s="2159" t="s">
        <v>95</v>
      </c>
      <c r="C83" s="1449" t="s">
        <v>201</v>
      </c>
      <c r="D83" s="1451"/>
      <c r="E83" s="1451"/>
      <c r="F83" s="1451"/>
      <c r="G83" s="1451">
        <f t="shared" si="15"/>
        <v>0</v>
      </c>
      <c r="H83" s="1545"/>
      <c r="I83" s="1467"/>
      <c r="K83" s="1557" t="str">
        <f t="shared" si="21"/>
        <v/>
      </c>
    </row>
    <row r="84" spans="1:11" ht="16.5" customHeight="1">
      <c r="A84" s="2178"/>
      <c r="B84" s="2159"/>
      <c r="C84" s="1429" t="s">
        <v>132</v>
      </c>
      <c r="D84" s="1441"/>
      <c r="E84" s="1441"/>
      <c r="F84" s="1441"/>
      <c r="G84" s="1441">
        <f t="shared" si="15"/>
        <v>0</v>
      </c>
      <c r="H84" s="1545"/>
      <c r="I84" s="1462"/>
      <c r="K84" s="1557" t="str">
        <f t="shared" si="21"/>
        <v/>
      </c>
    </row>
    <row r="85" spans="1:11" ht="16.5" customHeight="1">
      <c r="A85" s="2178"/>
      <c r="B85" s="2159"/>
      <c r="C85" s="1429" t="s">
        <v>144</v>
      </c>
      <c r="D85" s="1441"/>
      <c r="E85" s="1441"/>
      <c r="F85" s="1441"/>
      <c r="G85" s="1441">
        <f t="shared" si="15"/>
        <v>0</v>
      </c>
      <c r="H85" s="1545"/>
      <c r="I85" s="1462"/>
      <c r="K85" s="1557" t="str">
        <f t="shared" si="21"/>
        <v/>
      </c>
    </row>
    <row r="86" spans="1:11" ht="16.5" customHeight="1">
      <c r="A86" s="2178"/>
      <c r="B86" s="2159"/>
      <c r="C86" s="1429" t="s">
        <v>107</v>
      </c>
      <c r="D86" s="1441"/>
      <c r="E86" s="1441"/>
      <c r="F86" s="1441"/>
      <c r="G86" s="1441">
        <f t="shared" si="15"/>
        <v>0</v>
      </c>
      <c r="H86" s="1545"/>
      <c r="I86" s="1462"/>
      <c r="K86" s="1557" t="str">
        <f t="shared" si="21"/>
        <v/>
      </c>
    </row>
    <row r="87" spans="1:11" ht="16.5" customHeight="1">
      <c r="A87" s="2178"/>
      <c r="B87" s="2159"/>
      <c r="C87" s="1429" t="s">
        <v>113</v>
      </c>
      <c r="D87" s="1441"/>
      <c r="E87" s="1441"/>
      <c r="F87" s="1441"/>
      <c r="G87" s="1441">
        <f t="shared" si="15"/>
        <v>0</v>
      </c>
      <c r="H87" s="1545"/>
      <c r="I87" s="1462"/>
      <c r="K87" s="1557" t="str">
        <f t="shared" si="21"/>
        <v/>
      </c>
    </row>
    <row r="88" spans="1:11" ht="16.5" customHeight="1">
      <c r="A88" s="2178"/>
      <c r="B88" s="2159"/>
      <c r="C88" s="1429" t="s">
        <v>109</v>
      </c>
      <c r="D88" s="1441"/>
      <c r="E88" s="1441"/>
      <c r="F88" s="1441"/>
      <c r="G88" s="1441">
        <f t="shared" si="15"/>
        <v>0</v>
      </c>
      <c r="H88" s="1545"/>
      <c r="I88" s="1462"/>
      <c r="K88" s="1557" t="str">
        <f t="shared" si="21"/>
        <v/>
      </c>
    </row>
    <row r="89" spans="1:11" ht="16.5" customHeight="1">
      <c r="A89" s="2178"/>
      <c r="B89" s="2159"/>
      <c r="C89" s="1429" t="s">
        <v>122</v>
      </c>
      <c r="D89" s="1441"/>
      <c r="E89" s="1441"/>
      <c r="F89" s="1441"/>
      <c r="G89" s="1441">
        <f t="shared" si="15"/>
        <v>0</v>
      </c>
      <c r="H89" s="1545"/>
      <c r="I89" s="1462"/>
      <c r="K89" s="1557" t="str">
        <f t="shared" si="21"/>
        <v/>
      </c>
    </row>
    <row r="90" spans="1:11" ht="16.5" customHeight="1">
      <c r="A90" s="2178"/>
      <c r="B90" s="2159"/>
      <c r="C90" s="1429" t="s">
        <v>135</v>
      </c>
      <c r="D90" s="1441"/>
      <c r="E90" s="1441"/>
      <c r="F90" s="1441"/>
      <c r="G90" s="1441">
        <f t="shared" si="15"/>
        <v>0</v>
      </c>
      <c r="H90" s="1545"/>
      <c r="I90" s="1462"/>
      <c r="K90" s="1557" t="str">
        <f t="shared" si="21"/>
        <v/>
      </c>
    </row>
    <row r="91" spans="1:11" ht="16.5" customHeight="1">
      <c r="A91" s="2178"/>
      <c r="B91" s="2159"/>
      <c r="C91" s="1429" t="s">
        <v>205</v>
      </c>
      <c r="D91" s="1441"/>
      <c r="E91" s="1441"/>
      <c r="F91" s="1441"/>
      <c r="G91" s="1441">
        <f t="shared" si="15"/>
        <v>0</v>
      </c>
      <c r="H91" s="1545"/>
      <c r="I91" s="1462"/>
      <c r="K91" s="1557" t="str">
        <f t="shared" si="21"/>
        <v/>
      </c>
    </row>
    <row r="92" spans="1:11" ht="16.5" customHeight="1">
      <c r="A92" s="2178"/>
      <c r="B92" s="2159"/>
      <c r="C92" s="1429" t="s">
        <v>227</v>
      </c>
      <c r="D92" s="1441"/>
      <c r="E92" s="1441"/>
      <c r="F92" s="1441"/>
      <c r="G92" s="1441">
        <f t="shared" si="15"/>
        <v>0</v>
      </c>
      <c r="H92" s="1545"/>
      <c r="I92" s="1462"/>
      <c r="K92" s="1557" t="str">
        <f t="shared" si="21"/>
        <v/>
      </c>
    </row>
    <row r="93" spans="1:11" ht="16.5" customHeight="1">
      <c r="A93" s="2178"/>
      <c r="B93" s="2159"/>
      <c r="C93" s="1429" t="s">
        <v>240</v>
      </c>
      <c r="D93" s="1444">
        <f>51800000+9570000</f>
        <v>61370000</v>
      </c>
      <c r="E93" s="1441">
        <f>17307980+650210</f>
        <v>17958190</v>
      </c>
      <c r="F93" s="1441">
        <f>17430000+880000</f>
        <v>18310000</v>
      </c>
      <c r="G93" s="1441">
        <f t="shared" si="15"/>
        <v>-43060000</v>
      </c>
      <c r="H93" s="1545">
        <f t="shared" si="16"/>
        <v>-0.70164575525501061</v>
      </c>
      <c r="I93" s="1462"/>
      <c r="K93" s="1557" t="str">
        <f t="shared" si="21"/>
        <v/>
      </c>
    </row>
    <row r="94" spans="1:11" ht="16.5" customHeight="1">
      <c r="A94" s="2178"/>
      <c r="B94" s="2159"/>
      <c r="C94" s="1429" t="s">
        <v>245</v>
      </c>
      <c r="D94" s="1444">
        <v>3300000</v>
      </c>
      <c r="E94" s="1441">
        <v>483500</v>
      </c>
      <c r="F94" s="1441">
        <v>500000</v>
      </c>
      <c r="G94" s="1441">
        <f t="shared" si="15"/>
        <v>-2800000</v>
      </c>
      <c r="H94" s="1545">
        <f t="shared" si="16"/>
        <v>-0.84848484848484851</v>
      </c>
      <c r="I94" s="1462"/>
      <c r="K94" s="1557" t="str">
        <f t="shared" si="21"/>
        <v/>
      </c>
    </row>
    <row r="95" spans="1:11" ht="16.5" customHeight="1">
      <c r="A95" s="2178"/>
      <c r="B95" s="2159"/>
      <c r="C95" s="1429" t="s">
        <v>228</v>
      </c>
      <c r="D95" s="1444">
        <f>7000000+20000000</f>
        <v>27000000</v>
      </c>
      <c r="E95" s="1441"/>
      <c r="F95" s="1441">
        <v>300000</v>
      </c>
      <c r="G95" s="1441">
        <f t="shared" si="15"/>
        <v>-26700000</v>
      </c>
      <c r="H95" s="1545">
        <f t="shared" si="16"/>
        <v>-0.98888888888888893</v>
      </c>
      <c r="I95" s="1462"/>
      <c r="K95" s="1557" t="str">
        <f t="shared" si="21"/>
        <v/>
      </c>
    </row>
    <row r="96" spans="1:11" ht="16.5" customHeight="1">
      <c r="A96" s="2178"/>
      <c r="B96" s="2159"/>
      <c r="C96" s="1429" t="s">
        <v>125</v>
      </c>
      <c r="D96" s="1444">
        <v>1000000</v>
      </c>
      <c r="E96" s="1441">
        <v>50000</v>
      </c>
      <c r="F96" s="1441">
        <v>110000</v>
      </c>
      <c r="G96" s="1441">
        <f t="shared" si="15"/>
        <v>-890000</v>
      </c>
      <c r="H96" s="1545">
        <f t="shared" si="16"/>
        <v>-0.89</v>
      </c>
      <c r="I96" s="1462"/>
      <c r="K96" s="1557" t="str">
        <f t="shared" si="21"/>
        <v/>
      </c>
    </row>
    <row r="97" spans="1:11" ht="16.5" customHeight="1">
      <c r="A97" s="2178"/>
      <c r="B97" s="2159"/>
      <c r="C97" s="1429" t="s">
        <v>254</v>
      </c>
      <c r="D97" s="1444">
        <f>9720000+40000000</f>
        <v>49720000</v>
      </c>
      <c r="E97" s="1441">
        <f>550000+108864</f>
        <v>658864</v>
      </c>
      <c r="F97" s="1441">
        <f>705000+195000</f>
        <v>900000</v>
      </c>
      <c r="G97" s="1441">
        <f t="shared" si="15"/>
        <v>-48820000</v>
      </c>
      <c r="H97" s="1545">
        <f t="shared" si="16"/>
        <v>-0.98189863234111019</v>
      </c>
      <c r="I97" s="1462"/>
      <c r="K97" s="1557" t="str">
        <f t="shared" si="21"/>
        <v/>
      </c>
    </row>
    <row r="98" spans="1:11" ht="16.5" customHeight="1">
      <c r="A98" s="2178"/>
      <c r="B98" s="2159"/>
      <c r="C98" s="1429" t="s">
        <v>127</v>
      </c>
      <c r="D98" s="1444">
        <v>2000000</v>
      </c>
      <c r="E98" s="1441">
        <v>4105050</v>
      </c>
      <c r="F98" s="1441">
        <v>5000000</v>
      </c>
      <c r="G98" s="1441">
        <f t="shared" si="15"/>
        <v>3000000</v>
      </c>
      <c r="H98" s="1545">
        <f t="shared" si="16"/>
        <v>1.5</v>
      </c>
      <c r="I98" s="1462"/>
      <c r="K98" s="1557" t="str">
        <f t="shared" si="21"/>
        <v/>
      </c>
    </row>
    <row r="99" spans="1:11" ht="16.5" customHeight="1">
      <c r="A99" s="2178"/>
      <c r="B99" s="2159"/>
      <c r="C99" s="1429" t="s">
        <v>140</v>
      </c>
      <c r="D99" s="1444"/>
      <c r="E99" s="1441"/>
      <c r="F99" s="1441"/>
      <c r="G99" s="1441">
        <f t="shared" si="15"/>
        <v>0</v>
      </c>
      <c r="H99" s="1545"/>
      <c r="I99" s="1462"/>
      <c r="K99" s="1557" t="str">
        <f t="shared" si="21"/>
        <v/>
      </c>
    </row>
    <row r="100" spans="1:11" ht="16.5" customHeight="1">
      <c r="A100" s="2178"/>
      <c r="B100" s="2159"/>
      <c r="C100" s="1429" t="s">
        <v>215</v>
      </c>
      <c r="D100" s="1444">
        <f>9500000+11100000</f>
        <v>20600000</v>
      </c>
      <c r="E100" s="1441">
        <f>734370+1572600</f>
        <v>2306970</v>
      </c>
      <c r="F100" s="1441">
        <f>735000+1650000</f>
        <v>2385000</v>
      </c>
      <c r="G100" s="1441">
        <f t="shared" si="15"/>
        <v>-18215000</v>
      </c>
      <c r="H100" s="1545">
        <f t="shared" si="16"/>
        <v>-0.88422330097087376</v>
      </c>
      <c r="I100" s="1462"/>
      <c r="K100" s="1557" t="str">
        <f t="shared" si="21"/>
        <v/>
      </c>
    </row>
    <row r="101" spans="1:11" ht="16.5" customHeight="1">
      <c r="A101" s="2178"/>
      <c r="B101" s="2159"/>
      <c r="C101" s="1429" t="s">
        <v>185</v>
      </c>
      <c r="D101" s="1444"/>
      <c r="E101" s="1441"/>
      <c r="F101" s="1441"/>
      <c r="G101" s="1441">
        <f t="shared" si="15"/>
        <v>0</v>
      </c>
      <c r="H101" s="1545"/>
      <c r="I101" s="1462"/>
      <c r="K101" s="1557" t="str">
        <f t="shared" si="21"/>
        <v/>
      </c>
    </row>
    <row r="102" spans="1:11" ht="16.5" customHeight="1">
      <c r="A102" s="2178"/>
      <c r="B102" s="2159"/>
      <c r="C102" s="1429" t="s">
        <v>134</v>
      </c>
      <c r="D102" s="1444"/>
      <c r="E102" s="1441"/>
      <c r="F102" s="1441"/>
      <c r="G102" s="1441">
        <f t="shared" si="15"/>
        <v>0</v>
      </c>
      <c r="H102" s="1545"/>
      <c r="I102" s="1462"/>
      <c r="K102" s="1557" t="str">
        <f t="shared" si="21"/>
        <v/>
      </c>
    </row>
    <row r="103" spans="1:11" ht="16.5" customHeight="1">
      <c r="A103" s="2178"/>
      <c r="B103" s="2159"/>
      <c r="C103" s="1429" t="s">
        <v>222</v>
      </c>
      <c r="D103" s="1444"/>
      <c r="E103" s="1441"/>
      <c r="F103" s="1441"/>
      <c r="G103" s="1441">
        <f t="shared" si="15"/>
        <v>0</v>
      </c>
      <c r="H103" s="1545"/>
      <c r="I103" s="1462"/>
      <c r="K103" s="1557" t="str">
        <f t="shared" si="21"/>
        <v/>
      </c>
    </row>
    <row r="104" spans="1:11" ht="16.5" customHeight="1">
      <c r="A104" s="2178"/>
      <c r="B104" s="2159"/>
      <c r="C104" s="1429" t="s">
        <v>255</v>
      </c>
      <c r="D104" s="1441"/>
      <c r="E104" s="1441"/>
      <c r="F104" s="1441"/>
      <c r="G104" s="1441">
        <f t="shared" si="15"/>
        <v>0</v>
      </c>
      <c r="H104" s="1545"/>
      <c r="I104" s="1462"/>
      <c r="K104" s="1557" t="str">
        <f t="shared" si="21"/>
        <v/>
      </c>
    </row>
    <row r="105" spans="1:11" ht="16.5" customHeight="1" thickBot="1">
      <c r="A105" s="2178"/>
      <c r="B105" s="2160"/>
      <c r="C105" s="1598" t="s">
        <v>96</v>
      </c>
      <c r="D105" s="1445">
        <f>SUM(D83:D104)</f>
        <v>164990000</v>
      </c>
      <c r="E105" s="1445">
        <f>SUM(E83:E104)</f>
        <v>25562574</v>
      </c>
      <c r="F105" s="1445">
        <f>SUM(F83:F104)</f>
        <v>27505000</v>
      </c>
      <c r="G105" s="1445">
        <f t="shared" si="15"/>
        <v>-137485000</v>
      </c>
      <c r="H105" s="1513">
        <f t="shared" si="16"/>
        <v>-0.83329292684405121</v>
      </c>
      <c r="I105" s="1480"/>
      <c r="K105" s="1557" t="str">
        <f t="shared" si="21"/>
        <v/>
      </c>
    </row>
    <row r="106" spans="1:11" ht="16.5" customHeight="1" thickBot="1">
      <c r="A106" s="2179"/>
      <c r="B106" s="2161" t="s">
        <v>71</v>
      </c>
      <c r="C106" s="2203"/>
      <c r="D106" s="1599">
        <f>SUM(D82,D105)</f>
        <v>254600000</v>
      </c>
      <c r="E106" s="1599">
        <f>SUM(E82,E105)</f>
        <v>58408023</v>
      </c>
      <c r="F106" s="1599">
        <f>SUM(F82,F105)</f>
        <v>62165000</v>
      </c>
      <c r="G106" s="1478">
        <f t="shared" si="15"/>
        <v>-192435000</v>
      </c>
      <c r="H106" s="1513">
        <f t="shared" si="16"/>
        <v>-0.75583267871170468</v>
      </c>
      <c r="I106" s="1600"/>
      <c r="K106" s="1557" t="str">
        <f t="shared" si="21"/>
        <v/>
      </c>
    </row>
    <row r="107" spans="1:11" ht="16.5" customHeight="1">
      <c r="A107" s="2178" t="s">
        <v>352</v>
      </c>
      <c r="B107" s="1530" t="s">
        <v>352</v>
      </c>
      <c r="C107" s="1498" t="s">
        <v>353</v>
      </c>
      <c r="D107" s="1501"/>
      <c r="E107" s="1451"/>
      <c r="F107" s="1430">
        <f>136000000+178000000</f>
        <v>314000000</v>
      </c>
      <c r="G107" s="1431">
        <f t="shared" si="15"/>
        <v>314000000</v>
      </c>
      <c r="H107" s="1545">
        <v>1</v>
      </c>
      <c r="I107" s="1432"/>
    </row>
    <row r="108" spans="1:11" ht="16.5" customHeight="1" thickBot="1">
      <c r="A108" s="2179"/>
      <c r="B108" s="2181" t="s">
        <v>71</v>
      </c>
      <c r="C108" s="2182"/>
      <c r="D108" s="1531">
        <f>D107</f>
        <v>0</v>
      </c>
      <c r="E108" s="1531">
        <f t="shared" ref="E108:F108" si="24">E107</f>
        <v>0</v>
      </c>
      <c r="F108" s="1531">
        <f t="shared" si="24"/>
        <v>314000000</v>
      </c>
      <c r="G108" s="1470">
        <f t="shared" si="15"/>
        <v>314000000</v>
      </c>
      <c r="H108" s="1470">
        <v>0.1</v>
      </c>
      <c r="I108" s="1458"/>
    </row>
    <row r="109" spans="1:11" ht="16.5" customHeight="1">
      <c r="A109" s="2178" t="s">
        <v>80</v>
      </c>
      <c r="B109" s="1530" t="s">
        <v>80</v>
      </c>
      <c r="C109" s="1498" t="s">
        <v>80</v>
      </c>
      <c r="D109" s="1501">
        <f>1000000+3000000</f>
        <v>4000000</v>
      </c>
      <c r="E109" s="1451">
        <v>100000</v>
      </c>
      <c r="F109" s="1430">
        <f>100000+300000</f>
        <v>400000</v>
      </c>
      <c r="G109" s="1431">
        <f t="shared" si="15"/>
        <v>-3600000</v>
      </c>
      <c r="H109" s="1545">
        <f t="shared" si="16"/>
        <v>-0.9</v>
      </c>
      <c r="I109" s="1432"/>
      <c r="K109" s="1557" t="str">
        <f t="shared" si="21"/>
        <v/>
      </c>
    </row>
    <row r="110" spans="1:11" ht="16.5" customHeight="1" thickBot="1">
      <c r="A110" s="2179"/>
      <c r="B110" s="2181" t="s">
        <v>71</v>
      </c>
      <c r="C110" s="2182"/>
      <c r="D110" s="1518">
        <f>D109</f>
        <v>4000000</v>
      </c>
      <c r="E110" s="1518">
        <f t="shared" ref="E110:F110" si="25">E109</f>
        <v>100000</v>
      </c>
      <c r="F110" s="1518">
        <f t="shared" si="25"/>
        <v>400000</v>
      </c>
      <c r="G110" s="1478">
        <f t="shared" si="15"/>
        <v>-3600000</v>
      </c>
      <c r="H110" s="1478">
        <f t="shared" si="16"/>
        <v>-0.9</v>
      </c>
      <c r="I110" s="1458"/>
      <c r="K110" s="1557" t="str">
        <f t="shared" si="21"/>
        <v/>
      </c>
    </row>
    <row r="111" spans="1:11" ht="16.5" customHeight="1">
      <c r="A111" s="2204" t="s">
        <v>131</v>
      </c>
      <c r="B111" s="2160" t="s">
        <v>131</v>
      </c>
      <c r="C111" s="1449" t="s">
        <v>79</v>
      </c>
      <c r="D111" s="1541">
        <f>531936+48480</f>
        <v>580416</v>
      </c>
      <c r="E111" s="1438"/>
      <c r="F111" s="1542">
        <f>508274+837490</f>
        <v>1345764</v>
      </c>
      <c r="G111" s="1431">
        <f t="shared" si="15"/>
        <v>765348</v>
      </c>
      <c r="H111" s="1545">
        <f t="shared" si="16"/>
        <v>1.3186197485941118</v>
      </c>
      <c r="I111" s="1432"/>
      <c r="K111" s="1557" t="str">
        <f t="shared" si="21"/>
        <v/>
      </c>
    </row>
    <row r="112" spans="1:11" ht="16.5" customHeight="1">
      <c r="A112" s="2204"/>
      <c r="B112" s="2175"/>
      <c r="C112" s="1429" t="s">
        <v>63</v>
      </c>
      <c r="D112" s="1540"/>
      <c r="E112" s="1441">
        <v>1466542</v>
      </c>
      <c r="F112" s="1430">
        <v>1466542</v>
      </c>
      <c r="G112" s="1431">
        <f t="shared" si="15"/>
        <v>1466542</v>
      </c>
      <c r="H112" s="1545"/>
      <c r="I112" s="1432"/>
      <c r="K112" s="1557" t="str">
        <f t="shared" si="21"/>
        <v/>
      </c>
    </row>
    <row r="113" spans="1:11" ht="16.5" customHeight="1" thickBot="1">
      <c r="A113" s="2205"/>
      <c r="B113" s="2187" t="s">
        <v>71</v>
      </c>
      <c r="C113" s="2188"/>
      <c r="D113" s="1513">
        <f>SUM(D111:D112)</f>
        <v>580416</v>
      </c>
      <c r="E113" s="1513">
        <f t="shared" ref="E113:F113" si="26">SUM(E111:E112)</f>
        <v>1466542</v>
      </c>
      <c r="F113" s="1513">
        <f t="shared" si="26"/>
        <v>2812306</v>
      </c>
      <c r="G113" s="1534">
        <f t="shared" si="15"/>
        <v>2231890</v>
      </c>
      <c r="H113" s="1601">
        <f t="shared" si="16"/>
        <v>3.845328178409968</v>
      </c>
      <c r="I113" s="1458"/>
      <c r="K113" s="1557" t="str">
        <f t="shared" si="21"/>
        <v/>
      </c>
    </row>
    <row r="114" spans="1:11" ht="16.5" customHeight="1">
      <c r="A114" s="2206" t="s">
        <v>129</v>
      </c>
      <c r="B114" s="2209" t="s">
        <v>56</v>
      </c>
      <c r="C114" s="1496" t="s">
        <v>152</v>
      </c>
      <c r="D114" s="1602">
        <v>6000000</v>
      </c>
      <c r="E114" s="1438">
        <v>6000000</v>
      </c>
      <c r="F114" s="1603">
        <v>6000000</v>
      </c>
      <c r="G114" s="1481">
        <f t="shared" si="15"/>
        <v>0</v>
      </c>
      <c r="H114" s="1586">
        <f t="shared" ref="H114:H121" si="27">IF(ISERR(G114/D114),0,G114/D114)</f>
        <v>0</v>
      </c>
      <c r="I114" s="1543"/>
      <c r="K114" s="1557" t="str">
        <f t="shared" si="21"/>
        <v/>
      </c>
    </row>
    <row r="115" spans="1:11" ht="16.5" customHeight="1">
      <c r="A115" s="2207"/>
      <c r="B115" s="2210"/>
      <c r="C115" s="1429" t="s">
        <v>139</v>
      </c>
      <c r="D115" s="1604">
        <v>6000000</v>
      </c>
      <c r="E115" s="1441">
        <v>6000000</v>
      </c>
      <c r="F115" s="1540">
        <v>6000000</v>
      </c>
      <c r="G115" s="1431">
        <f t="shared" si="15"/>
        <v>0</v>
      </c>
      <c r="H115" s="1545">
        <f t="shared" si="27"/>
        <v>0</v>
      </c>
      <c r="I115" s="1544"/>
      <c r="K115" s="1557" t="str">
        <f t="shared" si="21"/>
        <v/>
      </c>
    </row>
    <row r="116" spans="1:11" ht="16.5" customHeight="1" thickBot="1">
      <c r="A116" s="2208"/>
      <c r="B116" s="2187" t="s">
        <v>71</v>
      </c>
      <c r="C116" s="2188"/>
      <c r="D116" s="1513">
        <f>SUM(D114:D115)</f>
        <v>12000000</v>
      </c>
      <c r="E116" s="1513">
        <f t="shared" ref="E116:F116" si="28">SUM(E114:E115)</f>
        <v>12000000</v>
      </c>
      <c r="F116" s="1513">
        <f t="shared" si="28"/>
        <v>12000000</v>
      </c>
      <c r="G116" s="1478">
        <f t="shared" si="15"/>
        <v>0</v>
      </c>
      <c r="H116" s="1456">
        <f t="shared" si="27"/>
        <v>0</v>
      </c>
      <c r="I116" s="1458"/>
      <c r="K116" s="1557" t="str">
        <f t="shared" si="21"/>
        <v/>
      </c>
    </row>
    <row r="117" spans="1:11" ht="16.5" customHeight="1">
      <c r="A117" s="2207" t="s">
        <v>288</v>
      </c>
      <c r="B117" s="2211" t="s">
        <v>56</v>
      </c>
      <c r="C117" s="1449" t="s">
        <v>142</v>
      </c>
      <c r="D117" s="1541">
        <v>122238539</v>
      </c>
      <c r="E117" s="1438"/>
      <c r="F117" s="1542">
        <v>122238539</v>
      </c>
      <c r="G117" s="1431">
        <f t="shared" si="15"/>
        <v>0</v>
      </c>
      <c r="H117" s="1431">
        <f t="shared" si="27"/>
        <v>0</v>
      </c>
      <c r="I117" s="1506"/>
      <c r="K117" s="1557" t="str">
        <f t="shared" si="21"/>
        <v/>
      </c>
    </row>
    <row r="118" spans="1:11" ht="16.5" customHeight="1">
      <c r="A118" s="2207"/>
      <c r="B118" s="2210"/>
      <c r="C118" s="1429" t="s">
        <v>277</v>
      </c>
      <c r="D118" s="1501">
        <v>129250225</v>
      </c>
      <c r="E118" s="1441"/>
      <c r="F118" s="1430">
        <v>129250225</v>
      </c>
      <c r="G118" s="1545">
        <f t="shared" si="15"/>
        <v>0</v>
      </c>
      <c r="H118" s="1605">
        <f t="shared" si="27"/>
        <v>0</v>
      </c>
      <c r="I118" s="1544"/>
      <c r="K118" s="1557" t="str">
        <f t="shared" si="21"/>
        <v/>
      </c>
    </row>
    <row r="119" spans="1:11" ht="16.5" customHeight="1" thickBot="1">
      <c r="A119" s="2208"/>
      <c r="B119" s="2187" t="s">
        <v>71</v>
      </c>
      <c r="C119" s="2188"/>
      <c r="D119" s="1513">
        <f>SUM(D117:D118)</f>
        <v>251488764</v>
      </c>
      <c r="E119" s="1513">
        <f t="shared" ref="E119:F119" si="29">SUM(E117:E118)</f>
        <v>0</v>
      </c>
      <c r="F119" s="1513">
        <f t="shared" si="29"/>
        <v>251488764</v>
      </c>
      <c r="G119" s="1478">
        <f t="shared" si="15"/>
        <v>0</v>
      </c>
      <c r="H119" s="1478">
        <f t="shared" si="27"/>
        <v>0</v>
      </c>
      <c r="I119" s="1458"/>
      <c r="K119" s="1557" t="str">
        <f t="shared" si="21"/>
        <v/>
      </c>
    </row>
    <row r="120" spans="1:11" ht="16.5" customHeight="1" thickBot="1">
      <c r="A120" s="1546" t="s">
        <v>165</v>
      </c>
      <c r="B120" s="1547" t="s">
        <v>165</v>
      </c>
      <c r="C120" s="1548" t="s">
        <v>160</v>
      </c>
      <c r="D120" s="1549"/>
      <c r="E120" s="1550">
        <f>419224038+200044100</f>
        <v>619268138</v>
      </c>
      <c r="F120" s="1551"/>
      <c r="G120" s="1552">
        <f t="shared" ref="G120:G121" si="30">F120-D120</f>
        <v>0</v>
      </c>
      <c r="H120" s="1606">
        <f t="shared" si="27"/>
        <v>0</v>
      </c>
      <c r="I120" s="1554"/>
      <c r="K120" s="1557" t="str">
        <f t="shared" si="21"/>
        <v>check</v>
      </c>
    </row>
    <row r="121" spans="1:11" ht="18" thickBot="1">
      <c r="A121" s="2191" t="s">
        <v>76</v>
      </c>
      <c r="B121" s="2192"/>
      <c r="C121" s="2193"/>
      <c r="D121" s="1555">
        <f>SUM(D72,D76,D106,D110,D113,D120,D119,D116,D108)</f>
        <v>2373000000</v>
      </c>
      <c r="E121" s="1555">
        <f t="shared" ref="E121:F121" si="31">SUM(E72,E76,E106,E110,E113,E120,E119,E116,E108)</f>
        <v>1607716242</v>
      </c>
      <c r="F121" s="1555">
        <f t="shared" si="31"/>
        <v>1637000000</v>
      </c>
      <c r="G121" s="1555">
        <f t="shared" si="30"/>
        <v>-736000000</v>
      </c>
      <c r="H121" s="1607">
        <f t="shared" si="27"/>
        <v>-0.31015592077538978</v>
      </c>
      <c r="I121" s="1485"/>
    </row>
    <row r="123" spans="1:11">
      <c r="D123" s="1557">
        <f>D121-D49</f>
        <v>0</v>
      </c>
      <c r="E123" s="1557">
        <f t="shared" ref="E123:G123" si="32">E121-E49</f>
        <v>0</v>
      </c>
      <c r="F123" s="1557">
        <f t="shared" si="32"/>
        <v>0</v>
      </c>
      <c r="G123" s="1557">
        <f t="shared" si="32"/>
        <v>0</v>
      </c>
    </row>
  </sheetData>
  <mergeCells count="70">
    <mergeCell ref="A117:A119"/>
    <mergeCell ref="B117:B118"/>
    <mergeCell ref="B119:C119"/>
    <mergeCell ref="A121:C121"/>
    <mergeCell ref="A109:A110"/>
    <mergeCell ref="B110:C110"/>
    <mergeCell ref="A111:A113"/>
    <mergeCell ref="B111:B112"/>
    <mergeCell ref="B113:C113"/>
    <mergeCell ref="A114:A116"/>
    <mergeCell ref="B114:B115"/>
    <mergeCell ref="B116:C116"/>
    <mergeCell ref="A77:A106"/>
    <mergeCell ref="B77:B82"/>
    <mergeCell ref="B83:B105"/>
    <mergeCell ref="B106:C106"/>
    <mergeCell ref="A107:A108"/>
    <mergeCell ref="B108:C108"/>
    <mergeCell ref="B53:B59"/>
    <mergeCell ref="B60:B63"/>
    <mergeCell ref="B64:B71"/>
    <mergeCell ref="B72:C72"/>
    <mergeCell ref="A73:A76"/>
    <mergeCell ref="B73:B75"/>
    <mergeCell ref="B76:C76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A41:A45"/>
    <mergeCell ref="B41:B44"/>
    <mergeCell ref="B45:C45"/>
    <mergeCell ref="A46:A48"/>
    <mergeCell ref="B46:B47"/>
    <mergeCell ref="B48:C48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5" type="noConversion"/>
  <pageMargins left="0.69986110925674438" right="0.69986110925674438" top="0.75" bottom="0.75" header="0.30000001192092896" footer="0.300000011920928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2:K123"/>
  <sheetViews>
    <sheetView topLeftCell="A105" zoomScale="80" zoomScaleNormal="80" zoomScaleSheetLayoutView="75" workbookViewId="0">
      <selection activeCell="D130" sqref="D130"/>
    </sheetView>
  </sheetViews>
  <sheetFormatPr defaultColWidth="8.58203125" defaultRowHeight="17"/>
  <cols>
    <col min="1" max="1" width="18.25" style="1012" customWidth="1"/>
    <col min="2" max="2" width="13.83203125" style="1012" customWidth="1"/>
    <col min="3" max="3" width="28.33203125" style="1012" customWidth="1"/>
    <col min="4" max="5" width="18.83203125" style="1012" customWidth="1"/>
    <col min="6" max="6" width="22.33203125" style="1012" customWidth="1"/>
    <col min="7" max="7" width="18.25" style="1012" customWidth="1"/>
    <col min="8" max="8" width="8.58203125" style="971"/>
    <col min="9" max="9" width="46.33203125" style="1012" customWidth="1"/>
    <col min="10" max="16384" width="8.58203125" style="971"/>
  </cols>
  <sheetData>
    <row r="2" spans="1:11" ht="29.5" customHeight="1">
      <c r="A2" s="2215" t="s">
        <v>354</v>
      </c>
      <c r="B2" s="2216"/>
      <c r="C2" s="2216"/>
      <c r="D2" s="2216"/>
      <c r="E2" s="2216"/>
      <c r="F2" s="2216"/>
      <c r="G2" s="2216"/>
      <c r="H2" s="2216"/>
      <c r="I2" s="2216"/>
    </row>
    <row r="3" spans="1:11" ht="16.5" customHeight="1">
      <c r="A3" s="2012" t="s">
        <v>355</v>
      </c>
      <c r="B3" s="2012"/>
      <c r="C3" s="2012"/>
      <c r="D3" s="2012"/>
      <c r="E3" s="2012"/>
      <c r="F3" s="2012"/>
      <c r="G3" s="2012"/>
      <c r="H3" s="2012"/>
      <c r="I3" s="2012"/>
    </row>
    <row r="4" spans="1:11" ht="16.5" customHeight="1">
      <c r="A4" s="2012"/>
      <c r="B4" s="2012"/>
      <c r="C4" s="2012"/>
      <c r="D4" s="2012"/>
      <c r="E4" s="2012"/>
      <c r="F4" s="2012"/>
      <c r="G4" s="2012"/>
      <c r="H4" s="2012"/>
      <c r="I4" s="2012"/>
    </row>
    <row r="5" spans="1:11" ht="17.5" thickBot="1">
      <c r="A5" s="2217" t="s">
        <v>6</v>
      </c>
      <c r="B5" s="2217"/>
      <c r="C5" s="2217"/>
      <c r="D5" s="2217"/>
      <c r="E5" s="2217"/>
      <c r="F5" s="2217"/>
      <c r="G5" s="2217"/>
      <c r="H5" s="2217"/>
      <c r="I5" s="2217"/>
    </row>
    <row r="6" spans="1:11" ht="17.5" customHeight="1">
      <c r="A6" s="2149" t="s">
        <v>82</v>
      </c>
      <c r="B6" s="2150"/>
      <c r="C6" s="2150"/>
      <c r="D6" s="2151" t="s">
        <v>283</v>
      </c>
      <c r="E6" s="2151" t="s">
        <v>356</v>
      </c>
      <c r="F6" s="2151" t="s">
        <v>357</v>
      </c>
      <c r="G6" s="2151" t="s">
        <v>108</v>
      </c>
      <c r="H6" s="2153" t="s">
        <v>186</v>
      </c>
      <c r="I6" s="2155" t="s">
        <v>146</v>
      </c>
    </row>
    <row r="7" spans="1:11" ht="18" customHeight="1" thickBot="1">
      <c r="A7" s="1412" t="s">
        <v>78</v>
      </c>
      <c r="B7" s="1413" t="s">
        <v>88</v>
      </c>
      <c r="C7" s="1413" t="s">
        <v>89</v>
      </c>
      <c r="D7" s="2152"/>
      <c r="E7" s="2152"/>
      <c r="F7" s="2152"/>
      <c r="G7" s="2152"/>
      <c r="H7" s="2154"/>
      <c r="I7" s="2156"/>
    </row>
    <row r="8" spans="1:11" ht="16.5" customHeight="1">
      <c r="A8" s="2157" t="s">
        <v>285</v>
      </c>
      <c r="B8" s="2159" t="s">
        <v>136</v>
      </c>
      <c r="C8" s="1414" t="s">
        <v>141</v>
      </c>
      <c r="D8" s="1415"/>
      <c r="E8" s="1415"/>
      <c r="F8" s="1415"/>
      <c r="G8" s="1416">
        <f>F8-D8</f>
        <v>0</v>
      </c>
      <c r="H8" s="1417"/>
      <c r="I8" s="1418"/>
    </row>
    <row r="9" spans="1:11" ht="16.5" customHeight="1">
      <c r="A9" s="2157"/>
      <c r="B9" s="2159"/>
      <c r="C9" s="1419" t="s">
        <v>239</v>
      </c>
      <c r="D9" s="1420">
        <v>164859120</v>
      </c>
      <c r="E9" s="1421">
        <v>63091790</v>
      </c>
      <c r="F9" s="1421">
        <v>63454920</v>
      </c>
      <c r="G9" s="1416">
        <f t="shared" ref="G9:G20" si="0">F9-D9</f>
        <v>-101404200</v>
      </c>
      <c r="H9" s="1417">
        <f t="shared" ref="H9:H49" si="1">G9/D9*100%</f>
        <v>-0.61509608931553195</v>
      </c>
      <c r="I9" s="1422"/>
      <c r="K9" s="1014" t="str">
        <f>IF(F9-E9&lt;0,"check","")</f>
        <v/>
      </c>
    </row>
    <row r="10" spans="1:11" ht="16.5" customHeight="1">
      <c r="A10" s="2157"/>
      <c r="B10" s="2159"/>
      <c r="C10" s="1419" t="s">
        <v>187</v>
      </c>
      <c r="D10" s="1420">
        <v>132312500</v>
      </c>
      <c r="E10" s="1421">
        <v>64093530</v>
      </c>
      <c r="F10" s="1421">
        <v>64141500</v>
      </c>
      <c r="G10" s="1416">
        <f t="shared" si="0"/>
        <v>-68171000</v>
      </c>
      <c r="H10" s="1417">
        <f t="shared" si="1"/>
        <v>-0.51522720831365143</v>
      </c>
      <c r="I10" s="1422"/>
      <c r="K10" s="1014" t="str">
        <f t="shared" ref="K10:K73" si="2">IF(F10-E10&lt;0,"check","")</f>
        <v/>
      </c>
    </row>
    <row r="11" spans="1:11" ht="16.5" customHeight="1">
      <c r="A11" s="2157"/>
      <c r="B11" s="2159"/>
      <c r="C11" s="1419" t="s">
        <v>208</v>
      </c>
      <c r="D11" s="1420">
        <v>34800000</v>
      </c>
      <c r="E11" s="1421">
        <v>17060760</v>
      </c>
      <c r="F11" s="1421">
        <v>17200000</v>
      </c>
      <c r="G11" s="1416">
        <f t="shared" si="0"/>
        <v>-17600000</v>
      </c>
      <c r="H11" s="1417">
        <f t="shared" si="1"/>
        <v>-0.50574712643678166</v>
      </c>
      <c r="I11" s="1422"/>
      <c r="K11" s="1014" t="str">
        <f t="shared" si="2"/>
        <v/>
      </c>
    </row>
    <row r="12" spans="1:11" ht="16.5" customHeight="1">
      <c r="A12" s="2157"/>
      <c r="B12" s="2160"/>
      <c r="C12" s="1419" t="s">
        <v>204</v>
      </c>
      <c r="D12" s="1420">
        <v>3000000</v>
      </c>
      <c r="E12" s="1421">
        <v>5540570</v>
      </c>
      <c r="F12" s="1421">
        <v>5700000</v>
      </c>
      <c r="G12" s="1416">
        <f t="shared" si="0"/>
        <v>2700000</v>
      </c>
      <c r="H12" s="1417">
        <f t="shared" si="1"/>
        <v>0.9</v>
      </c>
      <c r="I12" s="1422"/>
      <c r="K12" s="1014" t="str">
        <f t="shared" si="2"/>
        <v/>
      </c>
    </row>
    <row r="13" spans="1:11" ht="16.5" customHeight="1" thickBot="1">
      <c r="A13" s="2158"/>
      <c r="B13" s="2161" t="s">
        <v>71</v>
      </c>
      <c r="C13" s="2161"/>
      <c r="D13" s="1423">
        <f>SUM(D8:D12)</f>
        <v>334971620</v>
      </c>
      <c r="E13" s="1423">
        <f t="shared" ref="E13:F13" si="3">SUM(E8:E12)</f>
        <v>149786650</v>
      </c>
      <c r="F13" s="1423">
        <f t="shared" si="3"/>
        <v>150496420</v>
      </c>
      <c r="G13" s="1423">
        <f t="shared" si="0"/>
        <v>-184475200</v>
      </c>
      <c r="H13" s="1424">
        <f t="shared" si="1"/>
        <v>-0.55071889373792327</v>
      </c>
      <c r="I13" s="1425"/>
      <c r="K13" s="1014" t="str">
        <f t="shared" si="2"/>
        <v/>
      </c>
    </row>
    <row r="14" spans="1:11" ht="16.5" customHeight="1">
      <c r="A14" s="2162" t="s">
        <v>164</v>
      </c>
      <c r="B14" s="2159" t="s">
        <v>164</v>
      </c>
      <c r="C14" s="1414" t="s">
        <v>106</v>
      </c>
      <c r="D14" s="1415"/>
      <c r="E14" s="1415"/>
      <c r="F14" s="1415"/>
      <c r="G14" s="1416">
        <f t="shared" si="0"/>
        <v>0</v>
      </c>
      <c r="H14" s="1417"/>
      <c r="I14" s="1426"/>
      <c r="K14" s="1014" t="str">
        <f t="shared" si="2"/>
        <v/>
      </c>
    </row>
    <row r="15" spans="1:11" ht="16.5" customHeight="1">
      <c r="A15" s="2162"/>
      <c r="B15" s="2159"/>
      <c r="C15" s="1419" t="s">
        <v>111</v>
      </c>
      <c r="D15" s="1427"/>
      <c r="E15" s="1427"/>
      <c r="F15" s="1427"/>
      <c r="G15" s="1416">
        <f t="shared" si="0"/>
        <v>0</v>
      </c>
      <c r="H15" s="1417"/>
      <c r="I15" s="1428"/>
      <c r="K15" s="1014" t="str">
        <f t="shared" si="2"/>
        <v/>
      </c>
    </row>
    <row r="16" spans="1:11" ht="16.5" customHeight="1">
      <c r="A16" s="2162"/>
      <c r="B16" s="2159"/>
      <c r="C16" s="1419" t="s">
        <v>117</v>
      </c>
      <c r="D16" s="1427"/>
      <c r="E16" s="1427"/>
      <c r="F16" s="1427"/>
      <c r="G16" s="1416">
        <f t="shared" si="0"/>
        <v>0</v>
      </c>
      <c r="H16" s="1417"/>
      <c r="I16" s="1428"/>
      <c r="K16" s="1014" t="str">
        <f t="shared" si="2"/>
        <v/>
      </c>
    </row>
    <row r="17" spans="1:11" ht="16.5" customHeight="1">
      <c r="A17" s="2162"/>
      <c r="B17" s="2159"/>
      <c r="C17" s="1419" t="s">
        <v>112</v>
      </c>
      <c r="D17" s="1427"/>
      <c r="E17" s="1427"/>
      <c r="F17" s="1427"/>
      <c r="G17" s="1416">
        <f t="shared" si="0"/>
        <v>0</v>
      </c>
      <c r="H17" s="1417"/>
      <c r="I17" s="1428"/>
      <c r="K17" s="1014" t="str">
        <f t="shared" si="2"/>
        <v/>
      </c>
    </row>
    <row r="18" spans="1:11" ht="16.5" customHeight="1">
      <c r="A18" s="2162"/>
      <c r="B18" s="2159"/>
      <c r="C18" s="1414" t="s">
        <v>190</v>
      </c>
      <c r="D18" s="1427"/>
      <c r="E18" s="1427"/>
      <c r="F18" s="1427"/>
      <c r="G18" s="1416">
        <f t="shared" si="0"/>
        <v>0</v>
      </c>
      <c r="H18" s="1417"/>
      <c r="I18" s="1422"/>
      <c r="K18" s="1014" t="str">
        <f t="shared" si="2"/>
        <v/>
      </c>
    </row>
    <row r="19" spans="1:11" ht="16.5" customHeight="1">
      <c r="A19" s="2162"/>
      <c r="B19" s="2159"/>
      <c r="C19" s="1429" t="s">
        <v>214</v>
      </c>
      <c r="D19" s="1427"/>
      <c r="E19" s="1427"/>
      <c r="F19" s="1427"/>
      <c r="G19" s="1416">
        <f t="shared" si="0"/>
        <v>0</v>
      </c>
      <c r="H19" s="1417"/>
      <c r="I19" s="1422"/>
      <c r="K19" s="1014" t="str">
        <f t="shared" si="2"/>
        <v/>
      </c>
    </row>
    <row r="20" spans="1:11" ht="16.5" customHeight="1">
      <c r="A20" s="2162"/>
      <c r="B20" s="2159"/>
      <c r="C20" s="1429" t="s">
        <v>183</v>
      </c>
      <c r="D20" s="1427"/>
      <c r="E20" s="1427"/>
      <c r="F20" s="1427"/>
      <c r="G20" s="1416">
        <f t="shared" si="0"/>
        <v>0</v>
      </c>
      <c r="H20" s="1417"/>
      <c r="I20" s="1422"/>
      <c r="K20" s="1014" t="str">
        <f t="shared" si="2"/>
        <v/>
      </c>
    </row>
    <row r="21" spans="1:11" ht="16.5" customHeight="1">
      <c r="A21" s="2162"/>
      <c r="B21" s="2160"/>
      <c r="C21" s="1429" t="s">
        <v>195</v>
      </c>
      <c r="D21" s="1430"/>
      <c r="E21" s="1430"/>
      <c r="F21" s="1431"/>
      <c r="G21" s="1431">
        <f>F21-D21</f>
        <v>0</v>
      </c>
      <c r="H21" s="1417"/>
      <c r="I21" s="1432"/>
      <c r="K21" s="1014" t="str">
        <f t="shared" si="2"/>
        <v/>
      </c>
    </row>
    <row r="22" spans="1:11" ht="16.5" customHeight="1" thickBot="1">
      <c r="A22" s="2163"/>
      <c r="B22" s="2164" t="s">
        <v>71</v>
      </c>
      <c r="C22" s="2165"/>
      <c r="D22" s="1433">
        <f>SUM(D14:D21)</f>
        <v>0</v>
      </c>
      <c r="E22" s="1433">
        <f t="shared" ref="E22:F22" si="4">SUM(E14:E21)</f>
        <v>0</v>
      </c>
      <c r="F22" s="1433">
        <f t="shared" si="4"/>
        <v>0</v>
      </c>
      <c r="G22" s="1434">
        <f t="shared" ref="G22:G49" si="5">F22-D22</f>
        <v>0</v>
      </c>
      <c r="H22" s="1435"/>
      <c r="I22" s="1436"/>
      <c r="K22" s="1014" t="str">
        <f t="shared" si="2"/>
        <v/>
      </c>
    </row>
    <row r="23" spans="1:11" ht="16.5" customHeight="1">
      <c r="A23" s="2166" t="s">
        <v>197</v>
      </c>
      <c r="B23" s="2169" t="s">
        <v>197</v>
      </c>
      <c r="C23" s="1437" t="s">
        <v>211</v>
      </c>
      <c r="D23" s="1438"/>
      <c r="E23" s="1438"/>
      <c r="F23" s="1438"/>
      <c r="G23" s="1439">
        <f t="shared" si="5"/>
        <v>0</v>
      </c>
      <c r="H23" s="1417"/>
      <c r="I23" s="1440"/>
      <c r="K23" s="1014" t="str">
        <f t="shared" si="2"/>
        <v/>
      </c>
    </row>
    <row r="24" spans="1:11" ht="16.5" customHeight="1">
      <c r="A24" s="2167"/>
      <c r="B24" s="2159"/>
      <c r="C24" s="1419" t="s">
        <v>166</v>
      </c>
      <c r="D24" s="1441"/>
      <c r="E24" s="1441"/>
      <c r="F24" s="1441"/>
      <c r="G24" s="1442">
        <f t="shared" si="5"/>
        <v>0</v>
      </c>
      <c r="H24" s="1417"/>
      <c r="I24" s="1443"/>
      <c r="K24" s="1014" t="str">
        <f t="shared" si="2"/>
        <v/>
      </c>
    </row>
    <row r="25" spans="1:11" ht="16.5" customHeight="1">
      <c r="A25" s="2167"/>
      <c r="B25" s="2159"/>
      <c r="C25" s="1419" t="s">
        <v>163</v>
      </c>
      <c r="D25" s="1444">
        <v>5018740</v>
      </c>
      <c r="E25" s="1441">
        <v>1069710</v>
      </c>
      <c r="F25" s="1441">
        <v>1069710</v>
      </c>
      <c r="G25" s="1442">
        <f t="shared" si="5"/>
        <v>-3949030</v>
      </c>
      <c r="H25" s="1417">
        <f t="shared" si="1"/>
        <v>-0.78685686048689507</v>
      </c>
      <c r="I25" s="1443"/>
      <c r="K25" s="1014" t="str">
        <f t="shared" si="2"/>
        <v/>
      </c>
    </row>
    <row r="26" spans="1:11" ht="16.5" customHeight="1">
      <c r="A26" s="2167"/>
      <c r="B26" s="2160"/>
      <c r="C26" s="1419" t="s">
        <v>177</v>
      </c>
      <c r="D26" s="1441"/>
      <c r="E26" s="1441"/>
      <c r="F26" s="1441"/>
      <c r="G26" s="1442">
        <f t="shared" si="5"/>
        <v>0</v>
      </c>
      <c r="H26" s="1417"/>
      <c r="I26" s="1443"/>
      <c r="K26" s="1014" t="str">
        <f t="shared" si="2"/>
        <v/>
      </c>
    </row>
    <row r="27" spans="1:11" ht="16.5" customHeight="1" thickBot="1">
      <c r="A27" s="2168"/>
      <c r="B27" s="2170" t="s">
        <v>71</v>
      </c>
      <c r="C27" s="2171"/>
      <c r="D27" s="1445">
        <f>SUM(D23:D26)</f>
        <v>5018740</v>
      </c>
      <c r="E27" s="1445">
        <f t="shared" ref="E27:F27" si="6">SUM(E23:E26)</f>
        <v>1069710</v>
      </c>
      <c r="F27" s="1445">
        <f t="shared" si="6"/>
        <v>1069710</v>
      </c>
      <c r="G27" s="1446">
        <f t="shared" si="5"/>
        <v>-3949030</v>
      </c>
      <c r="H27" s="1447">
        <f t="shared" si="1"/>
        <v>-0.78685686048689507</v>
      </c>
      <c r="I27" s="1448"/>
      <c r="K27" s="1014" t="str">
        <f t="shared" si="2"/>
        <v/>
      </c>
    </row>
    <row r="28" spans="1:11" ht="16.5" customHeight="1">
      <c r="A28" s="2172" t="s">
        <v>229</v>
      </c>
      <c r="B28" s="2160" t="s">
        <v>229</v>
      </c>
      <c r="C28" s="1449" t="s">
        <v>162</v>
      </c>
      <c r="D28" s="1450">
        <v>3000000</v>
      </c>
      <c r="E28" s="1451">
        <v>1000000</v>
      </c>
      <c r="F28" s="1452">
        <v>1000000</v>
      </c>
      <c r="G28" s="1453">
        <f t="shared" si="5"/>
        <v>-2000000</v>
      </c>
      <c r="H28" s="1417">
        <f t="shared" si="1"/>
        <v>-0.66666666666666663</v>
      </c>
      <c r="I28" s="1454"/>
      <c r="K28" s="1014" t="str">
        <f t="shared" si="2"/>
        <v/>
      </c>
    </row>
    <row r="29" spans="1:11" ht="16.5" customHeight="1">
      <c r="A29" s="2173"/>
      <c r="B29" s="2175"/>
      <c r="C29" s="1449" t="s">
        <v>174</v>
      </c>
      <c r="D29" s="1430"/>
      <c r="E29" s="1430"/>
      <c r="F29" s="1431"/>
      <c r="G29" s="1431">
        <f t="shared" si="5"/>
        <v>0</v>
      </c>
      <c r="H29" s="1417"/>
      <c r="I29" s="1432"/>
      <c r="K29" s="1014" t="str">
        <f t="shared" si="2"/>
        <v/>
      </c>
    </row>
    <row r="30" spans="1:11" ht="16.5" customHeight="1" thickBot="1">
      <c r="A30" s="2174"/>
      <c r="B30" s="2161" t="s">
        <v>71</v>
      </c>
      <c r="C30" s="2161"/>
      <c r="D30" s="1455">
        <f>SUM(D28:D29)</f>
        <v>3000000</v>
      </c>
      <c r="E30" s="1455">
        <f t="shared" ref="E30:F30" si="7">SUM(E28:E29)</f>
        <v>1000000</v>
      </c>
      <c r="F30" s="1456">
        <f t="shared" si="7"/>
        <v>1000000</v>
      </c>
      <c r="G30" s="1456">
        <f t="shared" si="5"/>
        <v>-2000000</v>
      </c>
      <c r="H30" s="1457">
        <f t="shared" si="1"/>
        <v>-0.66666666666666663</v>
      </c>
      <c r="I30" s="1458"/>
      <c r="K30" s="1014" t="str">
        <f t="shared" si="2"/>
        <v/>
      </c>
    </row>
    <row r="31" spans="1:11" ht="16.5" customHeight="1">
      <c r="A31" s="2176" t="s">
        <v>241</v>
      </c>
      <c r="B31" s="2169" t="s">
        <v>241</v>
      </c>
      <c r="C31" s="1437" t="s">
        <v>130</v>
      </c>
      <c r="D31" s="1459">
        <v>692282880</v>
      </c>
      <c r="E31" s="1460">
        <v>358313530</v>
      </c>
      <c r="F31" s="1451">
        <v>359119680</v>
      </c>
      <c r="G31" s="1451">
        <f t="shared" si="5"/>
        <v>-333163200</v>
      </c>
      <c r="H31" s="1417">
        <f t="shared" si="1"/>
        <v>-0.48125298144018813</v>
      </c>
      <c r="I31" s="1440"/>
      <c r="K31" s="1014" t="str">
        <f t="shared" si="2"/>
        <v/>
      </c>
    </row>
    <row r="32" spans="1:11" ht="16.5" customHeight="1">
      <c r="A32" s="2157"/>
      <c r="B32" s="2160"/>
      <c r="C32" s="1419" t="s">
        <v>182</v>
      </c>
      <c r="D32" s="1444">
        <v>180000000</v>
      </c>
      <c r="E32" s="1461">
        <v>102012040</v>
      </c>
      <c r="F32" s="1441">
        <v>102030000</v>
      </c>
      <c r="G32" s="1441">
        <f t="shared" si="5"/>
        <v>-77970000</v>
      </c>
      <c r="H32" s="1417">
        <f t="shared" si="1"/>
        <v>-0.43316666666666664</v>
      </c>
      <c r="I32" s="1462"/>
      <c r="K32" s="1014" t="str">
        <f t="shared" si="2"/>
        <v/>
      </c>
    </row>
    <row r="33" spans="1:11" ht="16.5" customHeight="1" thickBot="1">
      <c r="A33" s="2158"/>
      <c r="B33" s="2170" t="s">
        <v>71</v>
      </c>
      <c r="C33" s="2177"/>
      <c r="D33" s="1445">
        <f>SUM(D31:D32)</f>
        <v>872282880</v>
      </c>
      <c r="E33" s="1445">
        <f t="shared" ref="E33:F33" si="8">SUM(E31:E32)</f>
        <v>460325570</v>
      </c>
      <c r="F33" s="1445">
        <f t="shared" si="8"/>
        <v>461149680</v>
      </c>
      <c r="G33" s="1463">
        <f t="shared" si="5"/>
        <v>-411133200</v>
      </c>
      <c r="H33" s="1424">
        <f t="shared" si="1"/>
        <v>-0.47133012630031212</v>
      </c>
      <c r="I33" s="1448"/>
      <c r="K33" s="1014" t="str">
        <f t="shared" si="2"/>
        <v/>
      </c>
    </row>
    <row r="34" spans="1:11" ht="16.5" customHeight="1">
      <c r="A34" s="1464"/>
      <c r="B34" s="2169" t="s">
        <v>69</v>
      </c>
      <c r="C34" s="1437" t="s">
        <v>203</v>
      </c>
      <c r="D34" s="1438"/>
      <c r="E34" s="1438"/>
      <c r="F34" s="1438">
        <v>5100000</v>
      </c>
      <c r="G34" s="1438">
        <f t="shared" si="5"/>
        <v>5100000</v>
      </c>
      <c r="H34" s="1465">
        <v>1</v>
      </c>
      <c r="I34" s="1440"/>
      <c r="K34" s="1014" t="str">
        <f t="shared" si="2"/>
        <v/>
      </c>
    </row>
    <row r="35" spans="1:11" ht="16.5" customHeight="1">
      <c r="A35" s="1466"/>
      <c r="B35" s="2159"/>
      <c r="C35" s="1429" t="s">
        <v>128</v>
      </c>
      <c r="D35" s="1451"/>
      <c r="E35" s="1451"/>
      <c r="F35" s="1451"/>
      <c r="G35" s="1451">
        <f t="shared" si="5"/>
        <v>0</v>
      </c>
      <c r="H35" s="1417"/>
      <c r="I35" s="1467"/>
      <c r="K35" s="1014" t="str">
        <f t="shared" si="2"/>
        <v/>
      </c>
    </row>
    <row r="36" spans="1:11" ht="16.5" customHeight="1">
      <c r="A36" s="2178" t="s">
        <v>69</v>
      </c>
      <c r="B36" s="2160"/>
      <c r="C36" s="1429" t="s">
        <v>247</v>
      </c>
      <c r="D36" s="1441"/>
      <c r="E36" s="1441"/>
      <c r="F36" s="1441"/>
      <c r="G36" s="1451">
        <f t="shared" si="5"/>
        <v>0</v>
      </c>
      <c r="H36" s="1417"/>
      <c r="I36" s="1462"/>
      <c r="K36" s="1014" t="str">
        <f t="shared" si="2"/>
        <v/>
      </c>
    </row>
    <row r="37" spans="1:11" ht="16.5" customHeight="1" thickBot="1">
      <c r="A37" s="2179"/>
      <c r="B37" s="2218" t="s">
        <v>71</v>
      </c>
      <c r="C37" s="2219"/>
      <c r="D37" s="1468">
        <f>SUM(D34:D36)</f>
        <v>0</v>
      </c>
      <c r="E37" s="1469">
        <f t="shared" ref="E37:F37" si="9">SUM(E34:E36)</f>
        <v>0</v>
      </c>
      <c r="F37" s="1469">
        <f t="shared" si="9"/>
        <v>5100000</v>
      </c>
      <c r="G37" s="1470">
        <f t="shared" si="5"/>
        <v>5100000</v>
      </c>
      <c r="H37" s="1471">
        <v>1</v>
      </c>
      <c r="I37" s="1458"/>
      <c r="K37" s="1014" t="str">
        <f t="shared" si="2"/>
        <v/>
      </c>
    </row>
    <row r="38" spans="1:11" ht="16.5" customHeight="1">
      <c r="A38" s="2178" t="s">
        <v>74</v>
      </c>
      <c r="B38" s="2159" t="s">
        <v>74</v>
      </c>
      <c r="C38" s="1449" t="s">
        <v>159</v>
      </c>
      <c r="D38" s="1472">
        <v>616212485</v>
      </c>
      <c r="E38" s="1473">
        <f>375139833+129861220+116451902</f>
        <v>621452955</v>
      </c>
      <c r="F38" s="1431">
        <v>621452955</v>
      </c>
      <c r="G38" s="1431">
        <f t="shared" si="5"/>
        <v>5240470</v>
      </c>
      <c r="H38" s="1474">
        <f t="shared" si="1"/>
        <v>8.5043229852767421E-3</v>
      </c>
      <c r="I38" s="1475"/>
      <c r="K38" s="1014" t="str">
        <f t="shared" si="2"/>
        <v/>
      </c>
    </row>
    <row r="39" spans="1:11" ht="16.5" customHeight="1">
      <c r="A39" s="2178"/>
      <c r="B39" s="2160"/>
      <c r="C39" s="1429" t="s">
        <v>101</v>
      </c>
      <c r="D39" s="1476"/>
      <c r="E39" s="1476">
        <v>2288912</v>
      </c>
      <c r="F39" s="1434">
        <v>2288912</v>
      </c>
      <c r="G39" s="1431">
        <f t="shared" si="5"/>
        <v>2288912</v>
      </c>
      <c r="H39" s="1417">
        <v>1</v>
      </c>
      <c r="I39" s="1477"/>
      <c r="K39" s="1014" t="str">
        <f t="shared" si="2"/>
        <v/>
      </c>
    </row>
    <row r="40" spans="1:11" ht="16.5" customHeight="1" thickBot="1">
      <c r="A40" s="2179"/>
      <c r="B40" s="2181" t="s">
        <v>71</v>
      </c>
      <c r="C40" s="2182"/>
      <c r="D40" s="1445">
        <f>SUM(D38:D39)</f>
        <v>616212485</v>
      </c>
      <c r="E40" s="1445">
        <f t="shared" ref="E40:F40" si="10">SUM(E38:E39)</f>
        <v>623741867</v>
      </c>
      <c r="F40" s="1445">
        <f t="shared" si="10"/>
        <v>623741867</v>
      </c>
      <c r="G40" s="1478">
        <f t="shared" si="5"/>
        <v>7529382</v>
      </c>
      <c r="H40" s="1479">
        <f t="shared" si="1"/>
        <v>1.2218807932786367E-2</v>
      </c>
      <c r="I40" s="1480"/>
      <c r="K40" s="1014" t="str">
        <f t="shared" si="2"/>
        <v/>
      </c>
    </row>
    <row r="41" spans="1:11" ht="16.5" customHeight="1">
      <c r="A41" s="2183" t="s">
        <v>61</v>
      </c>
      <c r="B41" s="2186" t="s">
        <v>61</v>
      </c>
      <c r="C41" s="1437" t="s">
        <v>250</v>
      </c>
      <c r="D41" s="1438"/>
      <c r="E41" s="1438"/>
      <c r="F41" s="1438"/>
      <c r="G41" s="1481">
        <f t="shared" si="5"/>
        <v>0</v>
      </c>
      <c r="H41" s="1465"/>
      <c r="I41" s="1440"/>
      <c r="K41" s="1014" t="str">
        <f t="shared" si="2"/>
        <v/>
      </c>
    </row>
    <row r="42" spans="1:11" ht="16.5" customHeight="1">
      <c r="A42" s="2184"/>
      <c r="B42" s="2175"/>
      <c r="C42" s="1419" t="s">
        <v>118</v>
      </c>
      <c r="D42" s="1444">
        <v>600000</v>
      </c>
      <c r="E42" s="1461">
        <v>165744</v>
      </c>
      <c r="F42" s="1441">
        <v>9100000</v>
      </c>
      <c r="G42" s="1431">
        <f t="shared" si="5"/>
        <v>8500000</v>
      </c>
      <c r="H42" s="1417">
        <f t="shared" si="1"/>
        <v>14.166666666666666</v>
      </c>
      <c r="I42" s="1462"/>
      <c r="K42" s="1014" t="str">
        <f t="shared" si="2"/>
        <v/>
      </c>
    </row>
    <row r="43" spans="1:11" ht="16.5" customHeight="1">
      <c r="A43" s="2184"/>
      <c r="B43" s="2175"/>
      <c r="C43" s="1419" t="s">
        <v>209</v>
      </c>
      <c r="D43" s="1444">
        <v>16800000</v>
      </c>
      <c r="E43" s="1461">
        <v>8127000</v>
      </c>
      <c r="F43" s="1441">
        <v>8330000</v>
      </c>
      <c r="G43" s="1431">
        <f t="shared" si="5"/>
        <v>-8470000</v>
      </c>
      <c r="H43" s="1417">
        <f t="shared" si="1"/>
        <v>-0.50416666666666665</v>
      </c>
      <c r="I43" s="1462"/>
      <c r="K43" s="1014" t="str">
        <f t="shared" si="2"/>
        <v/>
      </c>
    </row>
    <row r="44" spans="1:11" ht="16.5" customHeight="1">
      <c r="A44" s="2184"/>
      <c r="B44" s="2175"/>
      <c r="C44" s="1419" t="s">
        <v>171</v>
      </c>
      <c r="D44" s="1444">
        <v>4114275</v>
      </c>
      <c r="E44" s="1461">
        <v>6538330</v>
      </c>
      <c r="F44" s="1441">
        <v>9012323</v>
      </c>
      <c r="G44" s="1431">
        <f t="shared" si="5"/>
        <v>4898048</v>
      </c>
      <c r="H44" s="1417">
        <f t="shared" si="1"/>
        <v>1.1905008780404811</v>
      </c>
      <c r="I44" s="1462"/>
      <c r="K44" s="1014" t="str">
        <f t="shared" si="2"/>
        <v/>
      </c>
    </row>
    <row r="45" spans="1:11" ht="16.5" customHeight="1" thickBot="1">
      <c r="A45" s="2185"/>
      <c r="B45" s="2161" t="s">
        <v>71</v>
      </c>
      <c r="C45" s="2161"/>
      <c r="D45" s="1445">
        <f>SUM(D41:D44)</f>
        <v>21514275</v>
      </c>
      <c r="E45" s="1445">
        <f t="shared" ref="E45:F45" si="11">SUM(E41:E44)</f>
        <v>14831074</v>
      </c>
      <c r="F45" s="1445">
        <f t="shared" si="11"/>
        <v>26442323</v>
      </c>
      <c r="G45" s="1478">
        <f t="shared" si="5"/>
        <v>4928048</v>
      </c>
      <c r="H45" s="1479">
        <f t="shared" si="1"/>
        <v>0.22905945006280715</v>
      </c>
      <c r="I45" s="1448"/>
      <c r="K45" s="1014" t="str">
        <f t="shared" si="2"/>
        <v/>
      </c>
    </row>
    <row r="46" spans="1:11" ht="16.5" customHeight="1">
      <c r="A46" s="2172" t="s">
        <v>129</v>
      </c>
      <c r="B46" s="2160" t="s">
        <v>53</v>
      </c>
      <c r="C46" s="1414" t="s">
        <v>152</v>
      </c>
      <c r="D46" s="1444">
        <v>12000000</v>
      </c>
      <c r="E46" s="1461">
        <v>12000000</v>
      </c>
      <c r="F46" s="1441">
        <v>12000000</v>
      </c>
      <c r="G46" s="1431">
        <f t="shared" si="5"/>
        <v>0</v>
      </c>
      <c r="H46" s="1417">
        <f t="shared" si="1"/>
        <v>0</v>
      </c>
      <c r="I46" s="1467"/>
      <c r="K46" s="1014" t="str">
        <f t="shared" si="2"/>
        <v/>
      </c>
    </row>
    <row r="47" spans="1:11" ht="16.5" customHeight="1">
      <c r="A47" s="2173"/>
      <c r="B47" s="2175"/>
      <c r="C47" s="1419" t="s">
        <v>139</v>
      </c>
      <c r="D47" s="1444">
        <v>12000000</v>
      </c>
      <c r="E47" s="1461">
        <v>12000000</v>
      </c>
      <c r="F47" s="1441">
        <v>12000000</v>
      </c>
      <c r="G47" s="1431">
        <f t="shared" si="5"/>
        <v>0</v>
      </c>
      <c r="H47" s="1417">
        <f t="shared" si="1"/>
        <v>0</v>
      </c>
      <c r="I47" s="1462"/>
      <c r="K47" s="1014" t="str">
        <f t="shared" si="2"/>
        <v/>
      </c>
    </row>
    <row r="48" spans="1:11" ht="16.5" customHeight="1" thickBot="1">
      <c r="A48" s="2189"/>
      <c r="B48" s="2161" t="s">
        <v>71</v>
      </c>
      <c r="C48" s="2161"/>
      <c r="D48" s="1445">
        <f>SUM(D46:D47)</f>
        <v>24000000</v>
      </c>
      <c r="E48" s="1445">
        <f t="shared" ref="E48:F48" si="12">SUM(E46:E47)</f>
        <v>24000000</v>
      </c>
      <c r="F48" s="1445">
        <f t="shared" si="12"/>
        <v>24000000</v>
      </c>
      <c r="G48" s="1478">
        <f t="shared" si="5"/>
        <v>0</v>
      </c>
      <c r="H48" s="1479">
        <f t="shared" si="1"/>
        <v>0</v>
      </c>
      <c r="I48" s="1482"/>
      <c r="K48" s="1014" t="str">
        <f t="shared" si="2"/>
        <v/>
      </c>
    </row>
    <row r="49" spans="1:11" ht="18" thickBot="1">
      <c r="A49" s="2191" t="s">
        <v>76</v>
      </c>
      <c r="B49" s="2222"/>
      <c r="C49" s="2223"/>
      <c r="D49" s="1483">
        <f>SUM(D13,D22,D27,D30,D33,D37,D40,D45,D48)</f>
        <v>1877000000</v>
      </c>
      <c r="E49" s="1483">
        <f t="shared" ref="E49:F49" si="13">SUM(E13,E22,E27,E30,E33,E37,E40,E45,E48)</f>
        <v>1274754871</v>
      </c>
      <c r="F49" s="1483">
        <f t="shared" si="13"/>
        <v>1293000000</v>
      </c>
      <c r="G49" s="1483">
        <f t="shared" si="5"/>
        <v>-584000000</v>
      </c>
      <c r="H49" s="1484">
        <f t="shared" si="1"/>
        <v>-0.31113478955780499</v>
      </c>
      <c r="I49" s="1485"/>
      <c r="K49" s="1014" t="str">
        <f t="shared" si="2"/>
        <v/>
      </c>
    </row>
    <row r="50" spans="1:11" ht="17.5" thickBot="1">
      <c r="A50" s="2194" t="s">
        <v>25</v>
      </c>
      <c r="B50" s="2195"/>
      <c r="C50" s="2195"/>
      <c r="D50" s="2195"/>
      <c r="E50" s="2195"/>
      <c r="F50" s="2195"/>
      <c r="G50" s="2195"/>
      <c r="H50" s="2195"/>
      <c r="I50" s="2196"/>
      <c r="K50" s="1014" t="str">
        <f t="shared" si="2"/>
        <v/>
      </c>
    </row>
    <row r="51" spans="1:11" ht="17.5" customHeight="1">
      <c r="A51" s="2149" t="s">
        <v>82</v>
      </c>
      <c r="B51" s="2150"/>
      <c r="C51" s="2150"/>
      <c r="D51" s="2151" t="s">
        <v>283</v>
      </c>
      <c r="E51" s="2151" t="s">
        <v>356</v>
      </c>
      <c r="F51" s="2151" t="s">
        <v>44</v>
      </c>
      <c r="G51" s="2151" t="s">
        <v>108</v>
      </c>
      <c r="H51" s="2153" t="s">
        <v>186</v>
      </c>
      <c r="I51" s="2155" t="s">
        <v>146</v>
      </c>
      <c r="K51" s="1014"/>
    </row>
    <row r="52" spans="1:11" ht="18" customHeight="1" thickBot="1">
      <c r="A52" s="1412" t="s">
        <v>78</v>
      </c>
      <c r="B52" s="1413" t="s">
        <v>88</v>
      </c>
      <c r="C52" s="1413" t="s">
        <v>89</v>
      </c>
      <c r="D52" s="2152"/>
      <c r="E52" s="2152"/>
      <c r="F52" s="2152"/>
      <c r="G52" s="2152"/>
      <c r="H52" s="2154"/>
      <c r="I52" s="2156"/>
      <c r="K52" s="1014" t="str">
        <f t="shared" si="2"/>
        <v/>
      </c>
    </row>
    <row r="53" spans="1:11" ht="16.5" customHeight="1">
      <c r="A53" s="1486" t="s">
        <v>93</v>
      </c>
      <c r="B53" s="2186" t="s">
        <v>62</v>
      </c>
      <c r="C53" s="1487" t="s">
        <v>91</v>
      </c>
      <c r="D53" s="1488">
        <v>597951720</v>
      </c>
      <c r="E53" s="1481">
        <v>324641900</v>
      </c>
      <c r="F53" s="1481">
        <v>343545400</v>
      </c>
      <c r="G53" s="1481">
        <f>F53-D53</f>
        <v>-254406320</v>
      </c>
      <c r="H53" s="1489">
        <f>G53/D53*100%</f>
        <v>-0.4254629788505333</v>
      </c>
      <c r="I53" s="1490"/>
      <c r="K53" s="1014" t="str">
        <f t="shared" si="2"/>
        <v/>
      </c>
    </row>
    <row r="54" spans="1:11" ht="16.5" customHeight="1">
      <c r="A54" s="1491"/>
      <c r="B54" s="2175"/>
      <c r="C54" s="1492" t="s">
        <v>67</v>
      </c>
      <c r="D54" s="1472">
        <v>179147280</v>
      </c>
      <c r="E54" s="1431">
        <v>140555360</v>
      </c>
      <c r="F54" s="1431">
        <v>179013860</v>
      </c>
      <c r="G54" s="1431">
        <f t="shared" ref="G54:G119" si="14">F54-D54</f>
        <v>-133420</v>
      </c>
      <c r="H54" s="1493">
        <f t="shared" ref="H54:H117" si="15">G54/D54*100%</f>
        <v>-7.4475035289399871E-4</v>
      </c>
      <c r="I54" s="1432"/>
      <c r="K54" s="1014" t="str">
        <f t="shared" si="2"/>
        <v/>
      </c>
    </row>
    <row r="55" spans="1:11" ht="16.5" customHeight="1">
      <c r="A55" s="1491"/>
      <c r="B55" s="2175"/>
      <c r="C55" s="1492" t="s">
        <v>212</v>
      </c>
      <c r="D55" s="1472">
        <v>5000000</v>
      </c>
      <c r="E55" s="1431">
        <v>4280240</v>
      </c>
      <c r="F55" s="1431">
        <v>4500000</v>
      </c>
      <c r="G55" s="1431">
        <f t="shared" si="14"/>
        <v>-500000</v>
      </c>
      <c r="H55" s="1493">
        <f t="shared" si="15"/>
        <v>-0.1</v>
      </c>
      <c r="I55" s="1432"/>
      <c r="K55" s="1014" t="str">
        <f t="shared" si="2"/>
        <v/>
      </c>
    </row>
    <row r="56" spans="1:11" ht="16.5" customHeight="1">
      <c r="A56" s="1491"/>
      <c r="B56" s="2175"/>
      <c r="C56" s="1492" t="s">
        <v>98</v>
      </c>
      <c r="D56" s="1472">
        <v>64758250</v>
      </c>
      <c r="E56" s="1431">
        <v>23415515</v>
      </c>
      <c r="F56" s="1431">
        <v>28546610</v>
      </c>
      <c r="G56" s="1431">
        <f t="shared" si="14"/>
        <v>-36211640</v>
      </c>
      <c r="H56" s="1493">
        <f t="shared" si="15"/>
        <v>-0.55918188030096549</v>
      </c>
      <c r="I56" s="1432"/>
      <c r="K56" s="1014" t="str">
        <f t="shared" si="2"/>
        <v/>
      </c>
    </row>
    <row r="57" spans="1:11" ht="16.5" customHeight="1">
      <c r="A57" s="1491"/>
      <c r="B57" s="2175"/>
      <c r="C57" s="1492" t="s">
        <v>180</v>
      </c>
      <c r="D57" s="1472">
        <v>82527940</v>
      </c>
      <c r="E57" s="1431">
        <v>35362900</v>
      </c>
      <c r="F57" s="1431">
        <v>41495810</v>
      </c>
      <c r="G57" s="1431">
        <f t="shared" si="14"/>
        <v>-41032130</v>
      </c>
      <c r="H57" s="1493">
        <f t="shared" si="15"/>
        <v>-0.4971907695745223</v>
      </c>
      <c r="I57" s="1432"/>
      <c r="K57" s="1014" t="str">
        <f t="shared" si="2"/>
        <v/>
      </c>
    </row>
    <row r="58" spans="1:11" ht="16.5" customHeight="1">
      <c r="A58" s="1491"/>
      <c r="B58" s="2175"/>
      <c r="C58" s="1492" t="s">
        <v>176</v>
      </c>
      <c r="D58" s="1431"/>
      <c r="E58" s="1431"/>
      <c r="F58" s="1431"/>
      <c r="G58" s="1431">
        <f t="shared" si="14"/>
        <v>0</v>
      </c>
      <c r="H58" s="1493"/>
      <c r="I58" s="1432"/>
      <c r="K58" s="1014" t="str">
        <f t="shared" si="2"/>
        <v/>
      </c>
    </row>
    <row r="59" spans="1:11" ht="16.5" customHeight="1" thickBot="1">
      <c r="A59" s="1491"/>
      <c r="B59" s="2197"/>
      <c r="C59" s="1494" t="s">
        <v>96</v>
      </c>
      <c r="D59" s="1455">
        <f>SUM(D53:D58)</f>
        <v>929385190</v>
      </c>
      <c r="E59" s="1455">
        <f t="shared" ref="E59:F59" si="16">SUM(E53:E58)</f>
        <v>528255915</v>
      </c>
      <c r="F59" s="1455">
        <f t="shared" si="16"/>
        <v>597101680</v>
      </c>
      <c r="G59" s="1478">
        <f t="shared" si="14"/>
        <v>-332283510</v>
      </c>
      <c r="H59" s="1495">
        <f t="shared" si="15"/>
        <v>-0.35753045516036253</v>
      </c>
      <c r="I59" s="1436"/>
      <c r="K59" s="1014" t="str">
        <f t="shared" si="2"/>
        <v/>
      </c>
    </row>
    <row r="60" spans="1:11" ht="16.5" customHeight="1">
      <c r="A60" s="1491"/>
      <c r="B60" s="2186" t="s">
        <v>193</v>
      </c>
      <c r="C60" s="1496" t="s">
        <v>148</v>
      </c>
      <c r="D60" s="1488">
        <v>2400000</v>
      </c>
      <c r="E60" s="1481">
        <v>774000</v>
      </c>
      <c r="F60" s="1481">
        <v>1600000</v>
      </c>
      <c r="G60" s="1481">
        <f t="shared" si="14"/>
        <v>-800000</v>
      </c>
      <c r="H60" s="1497">
        <f t="shared" si="15"/>
        <v>-0.33333333333333331</v>
      </c>
      <c r="I60" s="1490"/>
      <c r="K60" s="1014" t="str">
        <f t="shared" si="2"/>
        <v/>
      </c>
    </row>
    <row r="61" spans="1:11" ht="16.5" customHeight="1">
      <c r="A61" s="1491"/>
      <c r="B61" s="2175"/>
      <c r="C61" s="1498" t="s">
        <v>253</v>
      </c>
      <c r="D61" s="1472">
        <v>3000000</v>
      </c>
      <c r="E61" s="1431">
        <v>2500000</v>
      </c>
      <c r="F61" s="1431">
        <v>3000000</v>
      </c>
      <c r="G61" s="1431">
        <f t="shared" si="14"/>
        <v>0</v>
      </c>
      <c r="H61" s="1499">
        <f t="shared" si="15"/>
        <v>0</v>
      </c>
      <c r="I61" s="1432"/>
      <c r="K61" s="1014" t="str">
        <f t="shared" si="2"/>
        <v/>
      </c>
    </row>
    <row r="62" spans="1:11" ht="16.5" customHeight="1">
      <c r="A62" s="1491"/>
      <c r="B62" s="2175"/>
      <c r="C62" s="1492" t="s">
        <v>83</v>
      </c>
      <c r="D62" s="1472">
        <v>15600000</v>
      </c>
      <c r="E62" s="1431">
        <v>2012280</v>
      </c>
      <c r="F62" s="1431">
        <v>4630000</v>
      </c>
      <c r="G62" s="1431">
        <f t="shared" si="14"/>
        <v>-10970000</v>
      </c>
      <c r="H62" s="1499">
        <f t="shared" si="15"/>
        <v>-0.70320512820512826</v>
      </c>
      <c r="I62" s="1432"/>
      <c r="K62" s="1014" t="str">
        <f t="shared" si="2"/>
        <v/>
      </c>
    </row>
    <row r="63" spans="1:11" ht="16.5" customHeight="1" thickBot="1">
      <c r="A63" s="1491"/>
      <c r="B63" s="2197"/>
      <c r="C63" s="1494" t="s">
        <v>96</v>
      </c>
      <c r="D63" s="1455">
        <f>SUM(D60:D62)</f>
        <v>21000000</v>
      </c>
      <c r="E63" s="1455">
        <f t="shared" ref="E63:F63" si="17">SUM(E60:E62)</f>
        <v>5286280</v>
      </c>
      <c r="F63" s="1455">
        <f t="shared" si="17"/>
        <v>9230000</v>
      </c>
      <c r="G63" s="1478">
        <f t="shared" si="14"/>
        <v>-11770000</v>
      </c>
      <c r="H63" s="1500">
        <f t="shared" si="15"/>
        <v>-0.56047619047619046</v>
      </c>
      <c r="I63" s="1436"/>
      <c r="K63" s="1014" t="str">
        <f t="shared" si="2"/>
        <v/>
      </c>
    </row>
    <row r="64" spans="1:11" ht="16.5" customHeight="1">
      <c r="A64" s="1491"/>
      <c r="B64" s="2160" t="s">
        <v>77</v>
      </c>
      <c r="C64" s="1498" t="s">
        <v>60</v>
      </c>
      <c r="D64" s="1472">
        <v>3360000</v>
      </c>
      <c r="E64" s="1434">
        <v>37200</v>
      </c>
      <c r="F64" s="1431">
        <v>100000</v>
      </c>
      <c r="G64" s="1431">
        <f t="shared" si="14"/>
        <v>-3260000</v>
      </c>
      <c r="H64" s="1499">
        <f t="shared" si="15"/>
        <v>-0.97023809523809523</v>
      </c>
      <c r="I64" s="1432"/>
      <c r="K64" s="1014" t="str">
        <f t="shared" si="2"/>
        <v/>
      </c>
    </row>
    <row r="65" spans="1:11" ht="16.5" customHeight="1">
      <c r="A65" s="1491"/>
      <c r="B65" s="2175"/>
      <c r="C65" s="1492" t="s">
        <v>97</v>
      </c>
      <c r="D65" s="1501">
        <v>25260000</v>
      </c>
      <c r="E65" s="1502">
        <v>2425730</v>
      </c>
      <c r="F65" s="1430">
        <v>9450000</v>
      </c>
      <c r="G65" s="1431">
        <f t="shared" si="14"/>
        <v>-15810000</v>
      </c>
      <c r="H65" s="1499">
        <f t="shared" si="15"/>
        <v>-0.62589073634204273</v>
      </c>
      <c r="I65" s="1432"/>
      <c r="K65" s="1014" t="str">
        <f t="shared" si="2"/>
        <v/>
      </c>
    </row>
    <row r="66" spans="1:11" ht="16.5" customHeight="1">
      <c r="A66" s="1491"/>
      <c r="B66" s="2175"/>
      <c r="C66" s="1492" t="s">
        <v>161</v>
      </c>
      <c r="D66" s="1501">
        <v>151690000</v>
      </c>
      <c r="E66" s="1441">
        <v>23630540</v>
      </c>
      <c r="F66" s="1430">
        <v>28850000</v>
      </c>
      <c r="G66" s="1431">
        <f t="shared" si="14"/>
        <v>-122840000</v>
      </c>
      <c r="H66" s="1499">
        <f t="shared" si="15"/>
        <v>-0.80980947986024132</v>
      </c>
      <c r="I66" s="1432"/>
      <c r="K66" s="1014" t="str">
        <f t="shared" si="2"/>
        <v/>
      </c>
    </row>
    <row r="67" spans="1:11" ht="16.5" customHeight="1">
      <c r="A67" s="1491"/>
      <c r="B67" s="2175"/>
      <c r="C67" s="1492" t="s">
        <v>168</v>
      </c>
      <c r="D67" s="1501"/>
      <c r="E67" s="1502"/>
      <c r="F67" s="1476"/>
      <c r="G67" s="1431">
        <f t="shared" si="14"/>
        <v>0</v>
      </c>
      <c r="H67" s="1499"/>
      <c r="I67" s="1432"/>
      <c r="K67" s="1014" t="str">
        <f t="shared" si="2"/>
        <v/>
      </c>
    </row>
    <row r="68" spans="1:11" ht="16.5" customHeight="1">
      <c r="A68" s="1503"/>
      <c r="B68" s="2175"/>
      <c r="C68" s="1492" t="s">
        <v>68</v>
      </c>
      <c r="D68" s="1504">
        <v>5400000</v>
      </c>
      <c r="E68" s="1505">
        <v>0</v>
      </c>
      <c r="F68" s="1505">
        <v>0</v>
      </c>
      <c r="G68" s="1476">
        <f t="shared" si="14"/>
        <v>-5400000</v>
      </c>
      <c r="H68" s="1499">
        <f t="shared" si="15"/>
        <v>-1</v>
      </c>
      <c r="I68" s="1506"/>
      <c r="K68" s="1014" t="str">
        <f t="shared" si="2"/>
        <v/>
      </c>
    </row>
    <row r="69" spans="1:11" ht="16.5" customHeight="1">
      <c r="A69" s="1503"/>
      <c r="B69" s="2175"/>
      <c r="C69" s="1429" t="s">
        <v>70</v>
      </c>
      <c r="D69" s="1444"/>
      <c r="E69" s="1441"/>
      <c r="F69" s="1441"/>
      <c r="G69" s="1441">
        <f t="shared" si="14"/>
        <v>0</v>
      </c>
      <c r="H69" s="1499"/>
      <c r="I69" s="1462"/>
      <c r="K69" s="1014" t="str">
        <f t="shared" si="2"/>
        <v/>
      </c>
    </row>
    <row r="70" spans="1:11" ht="16.5" customHeight="1">
      <c r="A70" s="1503"/>
      <c r="B70" s="2175"/>
      <c r="C70" s="1429" t="s">
        <v>151</v>
      </c>
      <c r="D70" s="1444">
        <v>61850000</v>
      </c>
      <c r="E70" s="1441">
        <v>15097910</v>
      </c>
      <c r="F70" s="1441">
        <v>22400000</v>
      </c>
      <c r="G70" s="1441">
        <f t="shared" si="14"/>
        <v>-39450000</v>
      </c>
      <c r="H70" s="1499">
        <f t="shared" si="15"/>
        <v>-0.6378334680679062</v>
      </c>
      <c r="I70" s="1507"/>
      <c r="K70" s="1014" t="str">
        <f t="shared" si="2"/>
        <v/>
      </c>
    </row>
    <row r="71" spans="1:11" ht="16.5" customHeight="1">
      <c r="A71" s="1503"/>
      <c r="B71" s="2175"/>
      <c r="C71" s="1508" t="s">
        <v>96</v>
      </c>
      <c r="D71" s="1509">
        <f>SUM(D64:D70)</f>
        <v>247560000</v>
      </c>
      <c r="E71" s="1509">
        <f t="shared" ref="E71:F71" si="18">SUM(E64:E70)</f>
        <v>41191380</v>
      </c>
      <c r="F71" s="1509">
        <f t="shared" si="18"/>
        <v>60800000</v>
      </c>
      <c r="G71" s="1510">
        <f t="shared" si="14"/>
        <v>-186760000</v>
      </c>
      <c r="H71" s="1511">
        <f t="shared" si="15"/>
        <v>-0.75440297301664239</v>
      </c>
      <c r="I71" s="1432"/>
      <c r="K71" s="1014" t="str">
        <f t="shared" si="2"/>
        <v/>
      </c>
    </row>
    <row r="72" spans="1:11" ht="16.5" customHeight="1" thickBot="1">
      <c r="A72" s="1512" t="s">
        <v>72</v>
      </c>
      <c r="B72" s="2220" t="s">
        <v>71</v>
      </c>
      <c r="C72" s="2221"/>
      <c r="D72" s="1513">
        <f>SUM(D59,D63,D71)</f>
        <v>1197945190</v>
      </c>
      <c r="E72" s="1463">
        <f t="shared" ref="E72:F72" si="19">SUM(E59,E63,E71)</f>
        <v>574733575</v>
      </c>
      <c r="F72" s="1513">
        <f t="shared" si="19"/>
        <v>667131680</v>
      </c>
      <c r="G72" s="1478">
        <f t="shared" si="14"/>
        <v>-530813510</v>
      </c>
      <c r="H72" s="1500">
        <f t="shared" si="15"/>
        <v>-0.44310333597148965</v>
      </c>
      <c r="I72" s="1436"/>
      <c r="K72" s="1014" t="str">
        <f t="shared" si="2"/>
        <v/>
      </c>
    </row>
    <row r="73" spans="1:11" ht="16.5" customHeight="1">
      <c r="A73" s="2172" t="s">
        <v>230</v>
      </c>
      <c r="B73" s="2160" t="s">
        <v>90</v>
      </c>
      <c r="C73" s="1449" t="s">
        <v>147</v>
      </c>
      <c r="D73" s="1514">
        <v>30000000</v>
      </c>
      <c r="E73" s="1451">
        <v>134600</v>
      </c>
      <c r="F73" s="1515">
        <v>200000</v>
      </c>
      <c r="G73" s="1516">
        <f t="shared" si="14"/>
        <v>-29800000</v>
      </c>
      <c r="H73" s="1499">
        <f t="shared" si="15"/>
        <v>-0.99333333333333329</v>
      </c>
      <c r="I73" s="1432"/>
      <c r="K73" s="1014" t="str">
        <f t="shared" si="2"/>
        <v/>
      </c>
    </row>
    <row r="74" spans="1:11" ht="16.5" customHeight="1">
      <c r="A74" s="2172"/>
      <c r="B74" s="2160"/>
      <c r="C74" s="1449" t="s">
        <v>90</v>
      </c>
      <c r="D74" s="1444">
        <v>30000000</v>
      </c>
      <c r="E74" s="1451"/>
      <c r="F74" s="1517"/>
      <c r="G74" s="1431">
        <f t="shared" si="14"/>
        <v>-30000000</v>
      </c>
      <c r="H74" s="1499">
        <f t="shared" si="15"/>
        <v>-1</v>
      </c>
      <c r="I74" s="1432"/>
      <c r="K74" s="1014" t="str">
        <f t="shared" ref="K74:K120" si="20">IF(F74-E74&lt;0,"check","")</f>
        <v/>
      </c>
    </row>
    <row r="75" spans="1:11" ht="16.5" customHeight="1">
      <c r="A75" s="2173"/>
      <c r="B75" s="2175"/>
      <c r="C75" s="1429" t="s">
        <v>99</v>
      </c>
      <c r="D75" s="1444">
        <v>20782000</v>
      </c>
      <c r="E75" s="1441">
        <v>847800</v>
      </c>
      <c r="F75" s="1441">
        <v>3008000</v>
      </c>
      <c r="G75" s="1431">
        <f t="shared" si="14"/>
        <v>-17774000</v>
      </c>
      <c r="H75" s="1499">
        <f t="shared" si="15"/>
        <v>-0.85525935906072559</v>
      </c>
      <c r="I75" s="1432"/>
      <c r="K75" s="1014" t="str">
        <f t="shared" si="20"/>
        <v/>
      </c>
    </row>
    <row r="76" spans="1:11" ht="16.5" customHeight="1" thickBot="1">
      <c r="A76" s="2174"/>
      <c r="B76" s="2198" t="s">
        <v>71</v>
      </c>
      <c r="C76" s="2199"/>
      <c r="D76" s="1518">
        <f>SUM(D73:D75)</f>
        <v>80782000</v>
      </c>
      <c r="E76" s="1518">
        <f t="shared" ref="E76:F76" si="21">SUM(E73:E75)</f>
        <v>982400</v>
      </c>
      <c r="F76" s="1518">
        <f t="shared" si="21"/>
        <v>3208000</v>
      </c>
      <c r="G76" s="1478">
        <f t="shared" si="14"/>
        <v>-77574000</v>
      </c>
      <c r="H76" s="1500">
        <f t="shared" si="15"/>
        <v>-0.96028818301106678</v>
      </c>
      <c r="I76" s="1436"/>
      <c r="K76" s="1014" t="str">
        <f t="shared" si="20"/>
        <v/>
      </c>
    </row>
    <row r="77" spans="1:11" ht="16.5" customHeight="1">
      <c r="A77" s="2180" t="s">
        <v>95</v>
      </c>
      <c r="B77" s="2200" t="s">
        <v>77</v>
      </c>
      <c r="C77" s="1519" t="s">
        <v>73</v>
      </c>
      <c r="D77" s="1520">
        <f>117161240+16800000</f>
        <v>133961240</v>
      </c>
      <c r="E77" s="1438">
        <f>55505090+9416847</f>
        <v>64921937</v>
      </c>
      <c r="F77" s="1438">
        <f>55629710+9800000</f>
        <v>65429710</v>
      </c>
      <c r="G77" s="1438">
        <f t="shared" si="14"/>
        <v>-68531530</v>
      </c>
      <c r="H77" s="1497">
        <f t="shared" si="15"/>
        <v>-0.5115773040022622</v>
      </c>
      <c r="I77" s="1440"/>
      <c r="K77" s="1014" t="str">
        <f t="shared" si="20"/>
        <v/>
      </c>
    </row>
    <row r="78" spans="1:11" ht="16.5" customHeight="1">
      <c r="A78" s="2178"/>
      <c r="B78" s="2201"/>
      <c r="C78" s="1521" t="s">
        <v>237</v>
      </c>
      <c r="D78" s="1459">
        <v>46000000</v>
      </c>
      <c r="E78" s="1451">
        <v>8258550</v>
      </c>
      <c r="F78" s="1451">
        <v>8300000</v>
      </c>
      <c r="G78" s="1441">
        <f t="shared" si="14"/>
        <v>-37700000</v>
      </c>
      <c r="H78" s="1499">
        <f t="shared" si="15"/>
        <v>-0.81956521739130439</v>
      </c>
      <c r="I78" s="1467"/>
      <c r="K78" s="1014" t="str">
        <f t="shared" si="20"/>
        <v/>
      </c>
    </row>
    <row r="79" spans="1:11" ht="16.5" customHeight="1">
      <c r="A79" s="2178"/>
      <c r="B79" s="2201"/>
      <c r="C79" s="1521" t="s">
        <v>87</v>
      </c>
      <c r="D79" s="1459"/>
      <c r="E79" s="1451"/>
      <c r="F79" s="1451"/>
      <c r="G79" s="1441">
        <f t="shared" si="14"/>
        <v>0</v>
      </c>
      <c r="H79" s="1499"/>
      <c r="I79" s="1467"/>
      <c r="K79" s="1014" t="str">
        <f t="shared" si="20"/>
        <v/>
      </c>
    </row>
    <row r="80" spans="1:11" ht="16.5" customHeight="1">
      <c r="A80" s="2178"/>
      <c r="B80" s="2201"/>
      <c r="C80" s="1522" t="s">
        <v>64</v>
      </c>
      <c r="D80" s="1459">
        <v>19000000</v>
      </c>
      <c r="E80" s="1441">
        <v>1639000</v>
      </c>
      <c r="F80" s="1451">
        <v>1760000</v>
      </c>
      <c r="G80" s="1441">
        <f t="shared" si="14"/>
        <v>-17240000</v>
      </c>
      <c r="H80" s="1499">
        <f t="shared" si="15"/>
        <v>-0.9073684210526316</v>
      </c>
      <c r="I80" s="1462"/>
      <c r="K80" s="1014" t="str">
        <f t="shared" si="20"/>
        <v/>
      </c>
    </row>
    <row r="81" spans="1:11" ht="16.5" customHeight="1">
      <c r="A81" s="2178"/>
      <c r="B81" s="2201"/>
      <c r="C81" s="1522" t="s">
        <v>243</v>
      </c>
      <c r="D81" s="1444">
        <v>21170000</v>
      </c>
      <c r="E81" s="1441">
        <v>10319530</v>
      </c>
      <c r="F81" s="1441">
        <v>10340000</v>
      </c>
      <c r="G81" s="1441">
        <f t="shared" si="14"/>
        <v>-10830000</v>
      </c>
      <c r="H81" s="1499">
        <f t="shared" si="15"/>
        <v>-0.51157298063297119</v>
      </c>
      <c r="I81" s="1462"/>
      <c r="K81" s="1014" t="str">
        <f t="shared" si="20"/>
        <v/>
      </c>
    </row>
    <row r="82" spans="1:11" ht="16.5" customHeight="1" thickBot="1">
      <c r="A82" s="2178"/>
      <c r="B82" s="2202"/>
      <c r="C82" s="1523" t="s">
        <v>96</v>
      </c>
      <c r="D82" s="1445">
        <f>SUM(D77:D81)</f>
        <v>220131240</v>
      </c>
      <c r="E82" s="1445">
        <f t="shared" ref="E82:F82" si="22">SUM(E77:E81)</f>
        <v>85139017</v>
      </c>
      <c r="F82" s="1445">
        <f t="shared" si="22"/>
        <v>85829710</v>
      </c>
      <c r="G82" s="1445">
        <f t="shared" si="14"/>
        <v>-134301530</v>
      </c>
      <c r="H82" s="1500">
        <f t="shared" si="15"/>
        <v>-0.61009754908026681</v>
      </c>
      <c r="I82" s="1448"/>
      <c r="K82" s="1014" t="str">
        <f t="shared" si="20"/>
        <v/>
      </c>
    </row>
    <row r="83" spans="1:11" ht="16.5" customHeight="1">
      <c r="A83" s="2178"/>
      <c r="B83" s="2159" t="s">
        <v>95</v>
      </c>
      <c r="C83" s="1449" t="s">
        <v>201</v>
      </c>
      <c r="D83" s="1451"/>
      <c r="E83" s="1451"/>
      <c r="F83" s="1451"/>
      <c r="G83" s="1451">
        <f t="shared" si="14"/>
        <v>0</v>
      </c>
      <c r="H83" s="1499"/>
      <c r="I83" s="1467"/>
      <c r="K83" s="1014" t="str">
        <f t="shared" si="20"/>
        <v/>
      </c>
    </row>
    <row r="84" spans="1:11" ht="16.5" customHeight="1">
      <c r="A84" s="2178"/>
      <c r="B84" s="2159"/>
      <c r="C84" s="1429" t="s">
        <v>132</v>
      </c>
      <c r="D84" s="1441"/>
      <c r="E84" s="1441"/>
      <c r="F84" s="1441"/>
      <c r="G84" s="1441">
        <f t="shared" si="14"/>
        <v>0</v>
      </c>
      <c r="H84" s="1499"/>
      <c r="I84" s="1462"/>
      <c r="K84" s="1014" t="str">
        <f t="shared" si="20"/>
        <v/>
      </c>
    </row>
    <row r="85" spans="1:11" ht="16.5" customHeight="1">
      <c r="A85" s="2178"/>
      <c r="B85" s="2159"/>
      <c r="C85" s="1429" t="s">
        <v>144</v>
      </c>
      <c r="D85" s="1441"/>
      <c r="E85" s="1441"/>
      <c r="F85" s="1441"/>
      <c r="G85" s="1441">
        <f t="shared" si="14"/>
        <v>0</v>
      </c>
      <c r="H85" s="1499"/>
      <c r="I85" s="1462"/>
      <c r="K85" s="1014" t="str">
        <f t="shared" si="20"/>
        <v/>
      </c>
    </row>
    <row r="86" spans="1:11" ht="16.5" customHeight="1">
      <c r="A86" s="2178"/>
      <c r="B86" s="2159"/>
      <c r="C86" s="1429" t="s">
        <v>107</v>
      </c>
      <c r="D86" s="1441"/>
      <c r="E86" s="1441"/>
      <c r="F86" s="1441"/>
      <c r="G86" s="1441">
        <f t="shared" si="14"/>
        <v>0</v>
      </c>
      <c r="H86" s="1499"/>
      <c r="I86" s="1462"/>
      <c r="K86" s="1014" t="str">
        <f t="shared" si="20"/>
        <v/>
      </c>
    </row>
    <row r="87" spans="1:11" ht="16.5" customHeight="1">
      <c r="A87" s="2178"/>
      <c r="B87" s="2159"/>
      <c r="C87" s="1429" t="s">
        <v>113</v>
      </c>
      <c r="D87" s="1441"/>
      <c r="E87" s="1441"/>
      <c r="F87" s="1441"/>
      <c r="G87" s="1441">
        <f t="shared" si="14"/>
        <v>0</v>
      </c>
      <c r="H87" s="1499"/>
      <c r="I87" s="1462"/>
      <c r="K87" s="1014" t="str">
        <f t="shared" si="20"/>
        <v/>
      </c>
    </row>
    <row r="88" spans="1:11" ht="16.5" customHeight="1">
      <c r="A88" s="2178"/>
      <c r="B88" s="2159"/>
      <c r="C88" s="1429" t="s">
        <v>109</v>
      </c>
      <c r="D88" s="1441"/>
      <c r="E88" s="1441"/>
      <c r="F88" s="1441"/>
      <c r="G88" s="1441">
        <f t="shared" si="14"/>
        <v>0</v>
      </c>
      <c r="H88" s="1499"/>
      <c r="I88" s="1462"/>
      <c r="K88" s="1014" t="str">
        <f t="shared" si="20"/>
        <v/>
      </c>
    </row>
    <row r="89" spans="1:11" ht="16.5" customHeight="1">
      <c r="A89" s="2178"/>
      <c r="B89" s="2159"/>
      <c r="C89" s="1429" t="s">
        <v>122</v>
      </c>
      <c r="D89" s="1441"/>
      <c r="E89" s="1441"/>
      <c r="F89" s="1441"/>
      <c r="G89" s="1441">
        <f t="shared" si="14"/>
        <v>0</v>
      </c>
      <c r="H89" s="1499"/>
      <c r="I89" s="1462"/>
      <c r="K89" s="1014" t="str">
        <f t="shared" si="20"/>
        <v/>
      </c>
    </row>
    <row r="90" spans="1:11" ht="16.5" customHeight="1">
      <c r="A90" s="2178"/>
      <c r="B90" s="2159"/>
      <c r="C90" s="1429" t="s">
        <v>135</v>
      </c>
      <c r="D90" s="1441"/>
      <c r="E90" s="1441"/>
      <c r="F90" s="1441"/>
      <c r="G90" s="1441">
        <f t="shared" si="14"/>
        <v>0</v>
      </c>
      <c r="H90" s="1499"/>
      <c r="I90" s="1462"/>
      <c r="K90" s="1014" t="str">
        <f t="shared" si="20"/>
        <v/>
      </c>
    </row>
    <row r="91" spans="1:11" ht="16.5" customHeight="1">
      <c r="A91" s="2178"/>
      <c r="B91" s="2159"/>
      <c r="C91" s="1429" t="s">
        <v>205</v>
      </c>
      <c r="D91" s="1441"/>
      <c r="E91" s="1441"/>
      <c r="F91" s="1441"/>
      <c r="G91" s="1441">
        <f t="shared" si="14"/>
        <v>0</v>
      </c>
      <c r="H91" s="1499"/>
      <c r="I91" s="1462"/>
      <c r="K91" s="1014" t="str">
        <f t="shared" si="20"/>
        <v/>
      </c>
    </row>
    <row r="92" spans="1:11" ht="16.5" customHeight="1">
      <c r="A92" s="2178"/>
      <c r="B92" s="2159"/>
      <c r="C92" s="1429" t="s">
        <v>227</v>
      </c>
      <c r="D92" s="1441"/>
      <c r="E92" s="1441"/>
      <c r="F92" s="1441"/>
      <c r="G92" s="1441">
        <f t="shared" si="14"/>
        <v>0</v>
      </c>
      <c r="H92" s="1499"/>
      <c r="I92" s="1462"/>
      <c r="K92" s="1014" t="str">
        <f t="shared" si="20"/>
        <v/>
      </c>
    </row>
    <row r="93" spans="1:11" ht="16.5" customHeight="1">
      <c r="A93" s="2178"/>
      <c r="B93" s="2159"/>
      <c r="C93" s="1429" t="s">
        <v>240</v>
      </c>
      <c r="D93" s="1524">
        <v>40960000</v>
      </c>
      <c r="E93" s="1525">
        <v>11753150</v>
      </c>
      <c r="F93" s="1525">
        <v>11900000</v>
      </c>
      <c r="G93" s="1441">
        <f t="shared" si="14"/>
        <v>-29060000</v>
      </c>
      <c r="H93" s="1499">
        <f t="shared" si="15"/>
        <v>-0.70947265625</v>
      </c>
      <c r="I93" s="1462"/>
      <c r="K93" s="1014" t="str">
        <f t="shared" si="20"/>
        <v/>
      </c>
    </row>
    <row r="94" spans="1:11" ht="16.5" customHeight="1">
      <c r="A94" s="2178"/>
      <c r="B94" s="2159"/>
      <c r="C94" s="1429" t="s">
        <v>245</v>
      </c>
      <c r="D94" s="1524">
        <v>1000000</v>
      </c>
      <c r="E94" s="1525">
        <v>200000</v>
      </c>
      <c r="F94" s="1525">
        <v>200000</v>
      </c>
      <c r="G94" s="1441">
        <f t="shared" si="14"/>
        <v>-800000</v>
      </c>
      <c r="H94" s="1499">
        <f t="shared" si="15"/>
        <v>-0.8</v>
      </c>
      <c r="I94" s="1462"/>
      <c r="K94" s="1014" t="str">
        <f t="shared" si="20"/>
        <v/>
      </c>
    </row>
    <row r="95" spans="1:11" ht="16.5" customHeight="1">
      <c r="A95" s="2178"/>
      <c r="B95" s="2159"/>
      <c r="C95" s="1429" t="s">
        <v>228</v>
      </c>
      <c r="D95" s="1524">
        <v>11000000</v>
      </c>
      <c r="E95" s="1526"/>
      <c r="F95" s="1525"/>
      <c r="G95" s="1441">
        <f t="shared" si="14"/>
        <v>-11000000</v>
      </c>
      <c r="H95" s="1499">
        <f t="shared" si="15"/>
        <v>-1</v>
      </c>
      <c r="I95" s="1462"/>
      <c r="K95" s="1014" t="str">
        <f t="shared" si="20"/>
        <v/>
      </c>
    </row>
    <row r="96" spans="1:11" ht="16.5" customHeight="1">
      <c r="A96" s="2178"/>
      <c r="B96" s="2159"/>
      <c r="C96" s="1429" t="s">
        <v>125</v>
      </c>
      <c r="D96" s="1524">
        <v>2200000</v>
      </c>
      <c r="E96" s="1525">
        <v>206060</v>
      </c>
      <c r="F96" s="1525">
        <v>250000</v>
      </c>
      <c r="G96" s="1441">
        <f t="shared" si="14"/>
        <v>-1950000</v>
      </c>
      <c r="H96" s="1499">
        <f t="shared" si="15"/>
        <v>-0.88636363636363635</v>
      </c>
      <c r="I96" s="1462"/>
      <c r="K96" s="1014" t="str">
        <f t="shared" si="20"/>
        <v/>
      </c>
    </row>
    <row r="97" spans="1:11" ht="16.5" customHeight="1">
      <c r="A97" s="2178"/>
      <c r="B97" s="2159"/>
      <c r="C97" s="1429" t="s">
        <v>254</v>
      </c>
      <c r="D97" s="1524">
        <v>18360000</v>
      </c>
      <c r="E97" s="1525"/>
      <c r="F97" s="1525">
        <v>110000</v>
      </c>
      <c r="G97" s="1441">
        <f t="shared" si="14"/>
        <v>-18250000</v>
      </c>
      <c r="H97" s="1499">
        <f t="shared" si="15"/>
        <v>-0.99400871459694984</v>
      </c>
      <c r="I97" s="1462"/>
      <c r="K97" s="1014" t="str">
        <f t="shared" si="20"/>
        <v/>
      </c>
    </row>
    <row r="98" spans="1:11" ht="16.5" customHeight="1">
      <c r="A98" s="2178"/>
      <c r="B98" s="2159"/>
      <c r="C98" s="1429" t="s">
        <v>127</v>
      </c>
      <c r="D98" s="1524"/>
      <c r="E98" s="1525"/>
      <c r="F98" s="1525"/>
      <c r="G98" s="1441">
        <f t="shared" si="14"/>
        <v>0</v>
      </c>
      <c r="H98" s="1499"/>
      <c r="I98" s="1462"/>
      <c r="K98" s="1014" t="str">
        <f t="shared" si="20"/>
        <v/>
      </c>
    </row>
    <row r="99" spans="1:11" ht="16.5" customHeight="1">
      <c r="A99" s="2178"/>
      <c r="B99" s="2159"/>
      <c r="C99" s="1429" t="s">
        <v>140</v>
      </c>
      <c r="D99" s="1524"/>
      <c r="E99" s="1525"/>
      <c r="F99" s="1525"/>
      <c r="G99" s="1441">
        <f t="shared" si="14"/>
        <v>0</v>
      </c>
      <c r="H99" s="1499"/>
      <c r="I99" s="1462"/>
      <c r="K99" s="1014" t="str">
        <f t="shared" si="20"/>
        <v/>
      </c>
    </row>
    <row r="100" spans="1:11" ht="16.5" customHeight="1">
      <c r="A100" s="2178"/>
      <c r="B100" s="2159"/>
      <c r="C100" s="1429" t="s">
        <v>215</v>
      </c>
      <c r="D100" s="1524">
        <v>9800000</v>
      </c>
      <c r="E100" s="1525">
        <v>1666600</v>
      </c>
      <c r="F100" s="1525">
        <v>1760000</v>
      </c>
      <c r="G100" s="1441">
        <f t="shared" si="14"/>
        <v>-8040000</v>
      </c>
      <c r="H100" s="1499">
        <f t="shared" si="15"/>
        <v>-0.82040816326530608</v>
      </c>
      <c r="I100" s="1462"/>
      <c r="K100" s="1014" t="str">
        <f t="shared" si="20"/>
        <v/>
      </c>
    </row>
    <row r="101" spans="1:11" ht="16.5" customHeight="1">
      <c r="A101" s="2178"/>
      <c r="B101" s="2159"/>
      <c r="C101" s="1429" t="s">
        <v>185</v>
      </c>
      <c r="D101" s="1444"/>
      <c r="E101" s="1441"/>
      <c r="F101" s="1441"/>
      <c r="G101" s="1441">
        <f t="shared" si="14"/>
        <v>0</v>
      </c>
      <c r="H101" s="1499"/>
      <c r="I101" s="1462"/>
      <c r="K101" s="1014" t="str">
        <f t="shared" si="20"/>
        <v/>
      </c>
    </row>
    <row r="102" spans="1:11" ht="16.5" customHeight="1">
      <c r="A102" s="2178"/>
      <c r="B102" s="2159"/>
      <c r="C102" s="1429" t="s">
        <v>134</v>
      </c>
      <c r="D102" s="1444"/>
      <c r="E102" s="1441"/>
      <c r="F102" s="1441"/>
      <c r="G102" s="1441">
        <f t="shared" si="14"/>
        <v>0</v>
      </c>
      <c r="H102" s="1499"/>
      <c r="I102" s="1462"/>
      <c r="K102" s="1014" t="str">
        <f t="shared" si="20"/>
        <v/>
      </c>
    </row>
    <row r="103" spans="1:11" ht="16.5" customHeight="1">
      <c r="A103" s="2178"/>
      <c r="B103" s="2159"/>
      <c r="C103" s="1429" t="s">
        <v>222</v>
      </c>
      <c r="D103" s="1444"/>
      <c r="E103" s="1441"/>
      <c r="F103" s="1441"/>
      <c r="G103" s="1441">
        <f t="shared" si="14"/>
        <v>0</v>
      </c>
      <c r="H103" s="1499"/>
      <c r="I103" s="1462"/>
      <c r="K103" s="1014" t="str">
        <f t="shared" si="20"/>
        <v/>
      </c>
    </row>
    <row r="104" spans="1:11" ht="16.5" customHeight="1">
      <c r="A104" s="2178"/>
      <c r="B104" s="2159"/>
      <c r="C104" s="1429" t="s">
        <v>255</v>
      </c>
      <c r="D104" s="1444"/>
      <c r="E104" s="1441"/>
      <c r="F104" s="1441"/>
      <c r="G104" s="1441">
        <f t="shared" si="14"/>
        <v>0</v>
      </c>
      <c r="H104" s="1499"/>
      <c r="I104" s="1462"/>
      <c r="K104" s="1014" t="str">
        <f t="shared" si="20"/>
        <v/>
      </c>
    </row>
    <row r="105" spans="1:11" ht="16.5" customHeight="1">
      <c r="A105" s="2178"/>
      <c r="B105" s="2160"/>
      <c r="C105" s="1527" t="s">
        <v>96</v>
      </c>
      <c r="D105" s="1528">
        <f>SUM(D83:D104)</f>
        <v>83320000</v>
      </c>
      <c r="E105" s="1528">
        <f>SUM(E83:E104)</f>
        <v>13825810</v>
      </c>
      <c r="F105" s="1528">
        <f>SUM(F83:F104)</f>
        <v>14220000</v>
      </c>
      <c r="G105" s="1528">
        <f t="shared" si="14"/>
        <v>-69100000</v>
      </c>
      <c r="H105" s="1511">
        <f t="shared" si="15"/>
        <v>-0.82933269323091696</v>
      </c>
      <c r="I105" s="1462"/>
      <c r="K105" s="1014" t="str">
        <f t="shared" si="20"/>
        <v/>
      </c>
    </row>
    <row r="106" spans="1:11" ht="16.5" customHeight="1" thickBot="1">
      <c r="A106" s="2179"/>
      <c r="B106" s="2161" t="s">
        <v>71</v>
      </c>
      <c r="C106" s="2161"/>
      <c r="D106" s="1445">
        <f>SUM(D82,D105)</f>
        <v>303451240</v>
      </c>
      <c r="E106" s="1445">
        <f>SUM(E82,E105)</f>
        <v>98964827</v>
      </c>
      <c r="F106" s="1445">
        <f>SUM(F82,F105)</f>
        <v>100049710</v>
      </c>
      <c r="G106" s="1478">
        <f t="shared" si="14"/>
        <v>-203401530</v>
      </c>
      <c r="H106" s="1529">
        <f t="shared" si="15"/>
        <v>-0.67029394903774331</v>
      </c>
      <c r="I106" s="1480"/>
      <c r="K106" s="1014" t="str">
        <f t="shared" si="20"/>
        <v/>
      </c>
    </row>
    <row r="107" spans="1:11" ht="16.5" customHeight="1">
      <c r="A107" s="2178" t="s">
        <v>352</v>
      </c>
      <c r="B107" s="1530" t="s">
        <v>352</v>
      </c>
      <c r="C107" s="1498" t="s">
        <v>353</v>
      </c>
      <c r="D107" s="1520"/>
      <c r="E107" s="1438"/>
      <c r="F107" s="1438">
        <v>227000000</v>
      </c>
      <c r="G107" s="1431">
        <f t="shared" si="14"/>
        <v>227000000</v>
      </c>
      <c r="H107" s="1499">
        <v>1</v>
      </c>
      <c r="I107" s="1432"/>
      <c r="K107" s="1014"/>
    </row>
    <row r="108" spans="1:11" ht="16.5" customHeight="1" thickBot="1">
      <c r="A108" s="2179"/>
      <c r="B108" s="2181" t="s">
        <v>71</v>
      </c>
      <c r="C108" s="2182"/>
      <c r="D108" s="1531">
        <f>D107</f>
        <v>0</v>
      </c>
      <c r="E108" s="1531">
        <f t="shared" ref="E108:F108" si="23">E107</f>
        <v>0</v>
      </c>
      <c r="F108" s="1531">
        <f t="shared" si="23"/>
        <v>227000000</v>
      </c>
      <c r="G108" s="1532">
        <f t="shared" si="14"/>
        <v>227000000</v>
      </c>
      <c r="H108" s="1533">
        <v>1</v>
      </c>
      <c r="I108" s="1458"/>
      <c r="K108" s="1014"/>
    </row>
    <row r="109" spans="1:11" ht="16.5" customHeight="1">
      <c r="A109" s="2178" t="s">
        <v>80</v>
      </c>
      <c r="B109" s="1530" t="s">
        <v>80</v>
      </c>
      <c r="C109" s="1498" t="s">
        <v>80</v>
      </c>
      <c r="D109" s="1520">
        <v>500000</v>
      </c>
      <c r="E109" s="1438"/>
      <c r="F109" s="1438">
        <v>500000</v>
      </c>
      <c r="G109" s="1431">
        <f t="shared" si="14"/>
        <v>0</v>
      </c>
      <c r="H109" s="1499">
        <f t="shared" si="15"/>
        <v>0</v>
      </c>
      <c r="I109" s="1432"/>
      <c r="K109" s="1014" t="str">
        <f t="shared" si="20"/>
        <v/>
      </c>
    </row>
    <row r="110" spans="1:11" ht="16.5" customHeight="1" thickBot="1">
      <c r="A110" s="2179"/>
      <c r="B110" s="2181" t="s">
        <v>71</v>
      </c>
      <c r="C110" s="2182"/>
      <c r="D110" s="1518">
        <f>D109</f>
        <v>500000</v>
      </c>
      <c r="E110" s="1518">
        <f t="shared" ref="E110:F110" si="24">E109</f>
        <v>0</v>
      </c>
      <c r="F110" s="1518">
        <f t="shared" si="24"/>
        <v>500000</v>
      </c>
      <c r="G110" s="1534">
        <f t="shared" si="14"/>
        <v>0</v>
      </c>
      <c r="H110" s="1535">
        <f t="shared" si="15"/>
        <v>0</v>
      </c>
      <c r="I110" s="1458"/>
      <c r="K110" s="1014" t="str">
        <f t="shared" si="20"/>
        <v/>
      </c>
    </row>
    <row r="111" spans="1:11" ht="16.5" customHeight="1">
      <c r="A111" s="2204" t="s">
        <v>131</v>
      </c>
      <c r="B111" s="2160" t="s">
        <v>131</v>
      </c>
      <c r="C111" s="1449" t="s">
        <v>79</v>
      </c>
      <c r="D111" s="1536">
        <v>109085</v>
      </c>
      <c r="E111" s="1451"/>
      <c r="F111" s="1451">
        <v>748125</v>
      </c>
      <c r="G111" s="1537">
        <f t="shared" si="14"/>
        <v>639040</v>
      </c>
      <c r="H111" s="1538">
        <f t="shared" si="15"/>
        <v>5.8581839849658524</v>
      </c>
      <c r="I111" s="1539"/>
      <c r="K111" s="1014" t="str">
        <f t="shared" si="20"/>
        <v/>
      </c>
    </row>
    <row r="112" spans="1:11" ht="16.5" customHeight="1">
      <c r="A112" s="2204"/>
      <c r="B112" s="2175"/>
      <c r="C112" s="1429" t="s">
        <v>63</v>
      </c>
      <c r="D112" s="1540"/>
      <c r="E112" s="1441">
        <v>148537</v>
      </c>
      <c r="F112" s="1430">
        <v>150000</v>
      </c>
      <c r="G112" s="1431">
        <f t="shared" si="14"/>
        <v>150000</v>
      </c>
      <c r="H112" s="1538">
        <v>1</v>
      </c>
      <c r="I112" s="1432"/>
      <c r="K112" s="1014" t="str">
        <f t="shared" si="20"/>
        <v/>
      </c>
    </row>
    <row r="113" spans="1:11" ht="16.5" customHeight="1" thickBot="1">
      <c r="A113" s="2205"/>
      <c r="B113" s="2187" t="s">
        <v>71</v>
      </c>
      <c r="C113" s="2188"/>
      <c r="D113" s="1513">
        <f>SUM(D111:D112)</f>
        <v>109085</v>
      </c>
      <c r="E113" s="1513">
        <f t="shared" ref="E113:F113" si="25">SUM(E111:E112)</f>
        <v>148537</v>
      </c>
      <c r="F113" s="1513">
        <f t="shared" si="25"/>
        <v>898125</v>
      </c>
      <c r="G113" s="1534">
        <f t="shared" si="14"/>
        <v>789040</v>
      </c>
      <c r="H113" s="1535">
        <f t="shared" si="15"/>
        <v>7.2332584681670253</v>
      </c>
      <c r="I113" s="1458"/>
      <c r="K113" s="1014" t="str">
        <f t="shared" si="20"/>
        <v/>
      </c>
    </row>
    <row r="114" spans="1:11" ht="16.5" customHeight="1">
      <c r="A114" s="2206" t="s">
        <v>129</v>
      </c>
      <c r="B114" s="2209" t="s">
        <v>56</v>
      </c>
      <c r="C114" s="1496" t="s">
        <v>152</v>
      </c>
      <c r="D114" s="1541">
        <v>12000000</v>
      </c>
      <c r="E114" s="1438">
        <v>12000000</v>
      </c>
      <c r="F114" s="1542">
        <v>12000000</v>
      </c>
      <c r="G114" s="1481">
        <f t="shared" si="14"/>
        <v>0</v>
      </c>
      <c r="H114" s="1499">
        <f t="shared" si="15"/>
        <v>0</v>
      </c>
      <c r="I114" s="1543"/>
      <c r="K114" s="1014" t="str">
        <f t="shared" si="20"/>
        <v/>
      </c>
    </row>
    <row r="115" spans="1:11" ht="16.5" customHeight="1">
      <c r="A115" s="2207"/>
      <c r="B115" s="2210"/>
      <c r="C115" s="1429" t="s">
        <v>139</v>
      </c>
      <c r="D115" s="1501">
        <v>12000000</v>
      </c>
      <c r="E115" s="1441">
        <v>12000000</v>
      </c>
      <c r="F115" s="1430">
        <v>12000000</v>
      </c>
      <c r="G115" s="1431">
        <f t="shared" si="14"/>
        <v>0</v>
      </c>
      <c r="H115" s="1499">
        <f t="shared" si="15"/>
        <v>0</v>
      </c>
      <c r="I115" s="1544"/>
      <c r="K115" s="1014" t="str">
        <f t="shared" si="20"/>
        <v/>
      </c>
    </row>
    <row r="116" spans="1:11" ht="16.5" customHeight="1" thickBot="1">
      <c r="A116" s="2208"/>
      <c r="B116" s="2187" t="s">
        <v>71</v>
      </c>
      <c r="C116" s="2188"/>
      <c r="D116" s="1513">
        <f>SUM(D114:D115)</f>
        <v>24000000</v>
      </c>
      <c r="E116" s="1513">
        <f t="shared" ref="E116:F116" si="26">SUM(E114:E115)</f>
        <v>24000000</v>
      </c>
      <c r="F116" s="1513">
        <f t="shared" si="26"/>
        <v>24000000</v>
      </c>
      <c r="G116" s="1478">
        <f t="shared" si="14"/>
        <v>0</v>
      </c>
      <c r="H116" s="1535">
        <f t="shared" si="15"/>
        <v>0</v>
      </c>
      <c r="I116" s="1458"/>
      <c r="K116" s="1014" t="str">
        <f t="shared" si="20"/>
        <v/>
      </c>
    </row>
    <row r="117" spans="1:11" ht="16.5" customHeight="1">
      <c r="A117" s="2207" t="s">
        <v>288</v>
      </c>
      <c r="B117" s="2211" t="s">
        <v>56</v>
      </c>
      <c r="C117" s="1449" t="s">
        <v>142</v>
      </c>
      <c r="D117" s="1541">
        <v>141808075</v>
      </c>
      <c r="E117" s="1438"/>
      <c r="F117" s="1542">
        <v>141808075</v>
      </c>
      <c r="G117" s="1431">
        <f t="shared" si="14"/>
        <v>0</v>
      </c>
      <c r="H117" s="1499">
        <f t="shared" si="15"/>
        <v>0</v>
      </c>
      <c r="I117" s="1506"/>
      <c r="K117" s="1014" t="str">
        <f t="shared" si="20"/>
        <v/>
      </c>
    </row>
    <row r="118" spans="1:11" ht="16.5" customHeight="1">
      <c r="A118" s="2207"/>
      <c r="B118" s="2210"/>
      <c r="C118" s="1429" t="s">
        <v>277</v>
      </c>
      <c r="D118" s="1501">
        <v>128404410</v>
      </c>
      <c r="E118" s="1441"/>
      <c r="F118" s="1430">
        <v>128404410</v>
      </c>
      <c r="G118" s="1545">
        <f t="shared" si="14"/>
        <v>0</v>
      </c>
      <c r="H118" s="1499">
        <f t="shared" ref="H118:H119" si="27">G118/D118*100%</f>
        <v>0</v>
      </c>
      <c r="I118" s="1544"/>
      <c r="K118" s="1014" t="str">
        <f t="shared" si="20"/>
        <v/>
      </c>
    </row>
    <row r="119" spans="1:11" ht="16.5" customHeight="1" thickBot="1">
      <c r="A119" s="2208"/>
      <c r="B119" s="2187" t="s">
        <v>71</v>
      </c>
      <c r="C119" s="2188"/>
      <c r="D119" s="1513">
        <f>SUM(D117:D118)</f>
        <v>270212485</v>
      </c>
      <c r="E119" s="1513">
        <f t="shared" ref="E119:F119" si="28">SUM(E117:E118)</f>
        <v>0</v>
      </c>
      <c r="F119" s="1513">
        <f t="shared" si="28"/>
        <v>270212485</v>
      </c>
      <c r="G119" s="1478">
        <f t="shared" si="14"/>
        <v>0</v>
      </c>
      <c r="H119" s="1535">
        <f t="shared" si="27"/>
        <v>0</v>
      </c>
      <c r="I119" s="1458"/>
      <c r="K119" s="1014" t="str">
        <f t="shared" si="20"/>
        <v/>
      </c>
    </row>
    <row r="120" spans="1:11" ht="16.5" customHeight="1" thickBot="1">
      <c r="A120" s="1546" t="s">
        <v>165</v>
      </c>
      <c r="B120" s="1547" t="s">
        <v>165</v>
      </c>
      <c r="C120" s="1548" t="s">
        <v>160</v>
      </c>
      <c r="D120" s="1549"/>
      <c r="E120" s="1550">
        <v>575925532</v>
      </c>
      <c r="F120" s="1551"/>
      <c r="G120" s="1552">
        <f t="shared" ref="G120" si="29">F120-D120</f>
        <v>0</v>
      </c>
      <c r="H120" s="1553"/>
      <c r="I120" s="1554"/>
      <c r="K120" s="1014" t="str">
        <f t="shared" si="20"/>
        <v>check</v>
      </c>
    </row>
    <row r="121" spans="1:11" ht="18" thickBot="1">
      <c r="A121" s="2191" t="s">
        <v>76</v>
      </c>
      <c r="B121" s="2192"/>
      <c r="C121" s="2193"/>
      <c r="D121" s="1555">
        <f>SUM(D72,D76,D106,D110,D113,D120,D119,D116)</f>
        <v>1877000000</v>
      </c>
      <c r="E121" s="1555">
        <f t="shared" ref="E121" si="30">SUM(E72,E76,E106,E110,E113,E120,E119,E116)</f>
        <v>1274754871</v>
      </c>
      <c r="F121" s="1555">
        <f>SUM(F72,F76,F106,F110,F113,F120,F119,F116,F108)</f>
        <v>1293000000</v>
      </c>
      <c r="G121" s="1555">
        <f>SUM(G72,G76,G106,G110,G113,G120,G119,G116,G108)</f>
        <v>-584000000</v>
      </c>
      <c r="H121" s="1556">
        <f>G121/D121*100%</f>
        <v>-0.31113478955780499</v>
      </c>
      <c r="I121" s="1485"/>
    </row>
    <row r="123" spans="1:11">
      <c r="D123" s="1014">
        <f>D121-D49</f>
        <v>0</v>
      </c>
      <c r="E123" s="1014">
        <f t="shared" ref="E123:F123" si="31">E121-E49</f>
        <v>0</v>
      </c>
      <c r="F123" s="1014">
        <f t="shared" si="31"/>
        <v>0</v>
      </c>
      <c r="G123" s="1014">
        <f>G121-G49</f>
        <v>0</v>
      </c>
    </row>
  </sheetData>
  <mergeCells count="71">
    <mergeCell ref="A121:C121"/>
    <mergeCell ref="A114:A116"/>
    <mergeCell ref="B114:B115"/>
    <mergeCell ref="B116:C116"/>
    <mergeCell ref="A117:A119"/>
    <mergeCell ref="B117:B118"/>
    <mergeCell ref="B119:C119"/>
    <mergeCell ref="A107:A108"/>
    <mergeCell ref="B108:C108"/>
    <mergeCell ref="A109:A110"/>
    <mergeCell ref="B110:C110"/>
    <mergeCell ref="A111:A113"/>
    <mergeCell ref="B111:B112"/>
    <mergeCell ref="B113:C113"/>
    <mergeCell ref="A73:A76"/>
    <mergeCell ref="B73:B75"/>
    <mergeCell ref="B76:C76"/>
    <mergeCell ref="A77:A106"/>
    <mergeCell ref="B77:B82"/>
    <mergeCell ref="B83:B105"/>
    <mergeCell ref="B106:C106"/>
    <mergeCell ref="B72:C72"/>
    <mergeCell ref="A46:A48"/>
    <mergeCell ref="B46:B47"/>
    <mergeCell ref="B48:C48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B53:B59"/>
    <mergeCell ref="B60:B63"/>
    <mergeCell ref="B64:B71"/>
    <mergeCell ref="A38:A40"/>
    <mergeCell ref="B38:B39"/>
    <mergeCell ref="B40:C40"/>
    <mergeCell ref="A41:A45"/>
    <mergeCell ref="B41:B44"/>
    <mergeCell ref="B45:C45"/>
    <mergeCell ref="A31:A33"/>
    <mergeCell ref="B31:B32"/>
    <mergeCell ref="B33:C33"/>
    <mergeCell ref="B34:B36"/>
    <mergeCell ref="A36:A37"/>
    <mergeCell ref="B37:C37"/>
    <mergeCell ref="A23:A27"/>
    <mergeCell ref="B23:B26"/>
    <mergeCell ref="B27:C27"/>
    <mergeCell ref="A28:A30"/>
    <mergeCell ref="B28:B29"/>
    <mergeCell ref="B30:C30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5" type="noConversion"/>
  <pageMargins left="0.69986110925674438" right="0.69986110925674438" top="0.75" bottom="0.75" header="0.30000001192092896" footer="0.300000011920928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I136"/>
  <sheetViews>
    <sheetView zoomScale="85" zoomScaleNormal="85" workbookViewId="0">
      <pane xSplit="2" ySplit="7" topLeftCell="C41" activePane="bottomRight" state="frozen"/>
      <selection activeCell="E120" sqref="E120"/>
      <selection pane="topRight" activeCell="E120" sqref="E120"/>
      <selection pane="bottomLeft" activeCell="E120" sqref="E120"/>
      <selection pane="bottomRight" activeCell="F49" sqref="F49"/>
    </sheetView>
  </sheetViews>
  <sheetFormatPr defaultRowHeight="17"/>
  <cols>
    <col min="1" max="1" width="13.25" style="1015" customWidth="1"/>
    <col min="2" max="2" width="14.25" style="1015" customWidth="1"/>
    <col min="3" max="3" width="23" style="1015" customWidth="1"/>
    <col min="4" max="5" width="18.25" style="1015" customWidth="1"/>
    <col min="6" max="6" width="19" style="1015" customWidth="1"/>
    <col min="7" max="7" width="18.58203125" style="1411" customWidth="1"/>
    <col min="8" max="8" width="10.58203125" style="1015" customWidth="1"/>
    <col min="9" max="9" width="40.33203125" style="1015" customWidth="1"/>
    <col min="10" max="16384" width="8.6640625" style="1015"/>
  </cols>
  <sheetData>
    <row r="1" spans="1:9">
      <c r="A1" s="2224"/>
      <c r="B1" s="2224"/>
      <c r="C1" s="2224"/>
      <c r="D1" s="2224"/>
      <c r="E1" s="2224"/>
      <c r="F1" s="2224"/>
      <c r="G1" s="2224"/>
      <c r="H1" s="2224"/>
      <c r="I1" s="2224"/>
    </row>
    <row r="2" spans="1:9" ht="26.5" customHeight="1">
      <c r="A2" s="2225" t="s">
        <v>360</v>
      </c>
      <c r="B2" s="2226"/>
      <c r="C2" s="2226"/>
      <c r="D2" s="2226"/>
      <c r="E2" s="2226"/>
      <c r="F2" s="2226"/>
      <c r="G2" s="2226"/>
      <c r="H2" s="2226"/>
      <c r="I2" s="2226"/>
    </row>
    <row r="3" spans="1:9" ht="30.75" customHeight="1">
      <c r="A3" s="2227" t="s">
        <v>361</v>
      </c>
      <c r="B3" s="2227"/>
      <c r="C3" s="2227"/>
      <c r="D3" s="2227"/>
      <c r="E3" s="2227"/>
      <c r="F3" s="2227"/>
      <c r="G3" s="2227"/>
      <c r="H3" s="2227"/>
      <c r="I3" s="2227"/>
    </row>
    <row r="4" spans="1:9" ht="27.75" customHeight="1">
      <c r="A4" s="2227"/>
      <c r="B4" s="2227"/>
      <c r="C4" s="2227"/>
      <c r="D4" s="2227"/>
      <c r="E4" s="2227"/>
      <c r="F4" s="2227"/>
      <c r="G4" s="2227"/>
      <c r="H4" s="2227"/>
      <c r="I4" s="2227"/>
    </row>
    <row r="5" spans="1:9" ht="18" thickBot="1">
      <c r="A5" s="2228" t="s">
        <v>362</v>
      </c>
      <c r="B5" s="2228"/>
      <c r="C5" s="2228"/>
      <c r="D5" s="2228"/>
      <c r="E5" s="2228"/>
      <c r="F5" s="2228"/>
      <c r="G5" s="2228"/>
      <c r="H5" s="2228"/>
      <c r="I5" s="2228"/>
    </row>
    <row r="6" spans="1:9" ht="17.5" customHeight="1">
      <c r="A6" s="2229" t="s">
        <v>82</v>
      </c>
      <c r="B6" s="2230"/>
      <c r="C6" s="2230"/>
      <c r="D6" s="2231" t="s">
        <v>363</v>
      </c>
      <c r="E6" s="2231" t="s">
        <v>364</v>
      </c>
      <c r="F6" s="2231" t="s">
        <v>365</v>
      </c>
      <c r="G6" s="2233" t="s">
        <v>366</v>
      </c>
      <c r="H6" s="2235" t="s">
        <v>367</v>
      </c>
      <c r="I6" s="2237" t="s">
        <v>368</v>
      </c>
    </row>
    <row r="7" spans="1:9" ht="18" customHeight="1" thickBot="1">
      <c r="A7" s="1016" t="s">
        <v>78</v>
      </c>
      <c r="B7" s="1017" t="s">
        <v>88</v>
      </c>
      <c r="C7" s="1017" t="s">
        <v>89</v>
      </c>
      <c r="D7" s="2232"/>
      <c r="E7" s="2232"/>
      <c r="F7" s="2232"/>
      <c r="G7" s="2234"/>
      <c r="H7" s="2236"/>
      <c r="I7" s="2238"/>
    </row>
    <row r="8" spans="1:9" ht="21.75" customHeight="1">
      <c r="A8" s="2239" t="s">
        <v>369</v>
      </c>
      <c r="B8" s="2241" t="s">
        <v>370</v>
      </c>
      <c r="C8" s="1018" t="s">
        <v>371</v>
      </c>
      <c r="D8" s="1019"/>
      <c r="E8" s="1019"/>
      <c r="F8" s="1019"/>
      <c r="G8" s="1388"/>
      <c r="H8" s="1020"/>
      <c r="I8" s="1021"/>
    </row>
    <row r="9" spans="1:9" ht="21.75" customHeight="1">
      <c r="A9" s="2239"/>
      <c r="B9" s="2241"/>
      <c r="C9" s="1022" t="s">
        <v>372</v>
      </c>
      <c r="D9" s="1023"/>
      <c r="E9" s="1023"/>
      <c r="F9" s="1023"/>
      <c r="G9" s="1388"/>
      <c r="H9" s="1020"/>
      <c r="I9" s="1024"/>
    </row>
    <row r="10" spans="1:9" ht="21.75" customHeight="1">
      <c r="A10" s="2239"/>
      <c r="B10" s="2241"/>
      <c r="C10" s="1022" t="s">
        <v>373</v>
      </c>
      <c r="D10" s="1023"/>
      <c r="E10" s="1023"/>
      <c r="F10" s="1023"/>
      <c r="G10" s="1388"/>
      <c r="H10" s="1020"/>
      <c r="I10" s="1024"/>
    </row>
    <row r="11" spans="1:9" ht="21.75" customHeight="1">
      <c r="A11" s="2239"/>
      <c r="B11" s="2241"/>
      <c r="C11" s="1022" t="s">
        <v>374</v>
      </c>
      <c r="D11" s="1023"/>
      <c r="E11" s="1023"/>
      <c r="F11" s="1023"/>
      <c r="G11" s="1388"/>
      <c r="H11" s="1020"/>
      <c r="I11" s="1024"/>
    </row>
    <row r="12" spans="1:9" ht="21.75" customHeight="1">
      <c r="A12" s="2239"/>
      <c r="B12" s="2242"/>
      <c r="C12" s="1022" t="s">
        <v>375</v>
      </c>
      <c r="D12" s="1023"/>
      <c r="E12" s="1023"/>
      <c r="F12" s="1023"/>
      <c r="G12" s="1388"/>
      <c r="H12" s="1020"/>
      <c r="I12" s="1024"/>
    </row>
    <row r="13" spans="1:9" ht="18" thickBot="1">
      <c r="A13" s="2240"/>
      <c r="B13" s="2243" t="s">
        <v>376</v>
      </c>
      <c r="C13" s="2243"/>
      <c r="D13" s="1025"/>
      <c r="E13" s="1025"/>
      <c r="F13" s="1025"/>
      <c r="G13" s="1389"/>
      <c r="H13" s="1026"/>
      <c r="I13" s="1027"/>
    </row>
    <row r="14" spans="1:9" ht="19.5" customHeight="1">
      <c r="A14" s="2244" t="s">
        <v>377</v>
      </c>
      <c r="B14" s="2241" t="s">
        <v>377</v>
      </c>
      <c r="C14" s="1018" t="s">
        <v>378</v>
      </c>
      <c r="D14" s="1019"/>
      <c r="E14" s="1019"/>
      <c r="F14" s="1019"/>
      <c r="G14" s="1388"/>
      <c r="H14" s="1020"/>
      <c r="I14" s="1028"/>
    </row>
    <row r="15" spans="1:9" ht="19.5" customHeight="1">
      <c r="A15" s="2244"/>
      <c r="B15" s="2241"/>
      <c r="C15" s="1022" t="s">
        <v>379</v>
      </c>
      <c r="D15" s="1023"/>
      <c r="E15" s="1023"/>
      <c r="F15" s="1023"/>
      <c r="G15" s="1388"/>
      <c r="H15" s="1020"/>
      <c r="I15" s="1029"/>
    </row>
    <row r="16" spans="1:9" ht="19.5" customHeight="1">
      <c r="A16" s="2244"/>
      <c r="B16" s="2241"/>
      <c r="C16" s="1022" t="s">
        <v>380</v>
      </c>
      <c r="D16" s="1023"/>
      <c r="E16" s="1023"/>
      <c r="F16" s="1023"/>
      <c r="G16" s="1388"/>
      <c r="H16" s="1020"/>
      <c r="I16" s="1029"/>
    </row>
    <row r="17" spans="1:9" ht="19.5" customHeight="1">
      <c r="A17" s="2244"/>
      <c r="B17" s="2241"/>
      <c r="C17" s="1022" t="s">
        <v>381</v>
      </c>
      <c r="D17" s="1023"/>
      <c r="E17" s="1023"/>
      <c r="F17" s="1023"/>
      <c r="G17" s="1388"/>
      <c r="H17" s="1020"/>
      <c r="I17" s="1029"/>
    </row>
    <row r="18" spans="1:9" ht="19.5" customHeight="1">
      <c r="A18" s="2244"/>
      <c r="B18" s="2241"/>
      <c r="C18" s="1018" t="s">
        <v>382</v>
      </c>
      <c r="D18" s="1023"/>
      <c r="E18" s="1023"/>
      <c r="F18" s="1023"/>
      <c r="G18" s="1388"/>
      <c r="H18" s="1020"/>
      <c r="I18" s="1024"/>
    </row>
    <row r="19" spans="1:9" ht="19.5" customHeight="1">
      <c r="A19" s="2244"/>
      <c r="B19" s="2241"/>
      <c r="C19" s="1030" t="s">
        <v>383</v>
      </c>
      <c r="D19" s="1023"/>
      <c r="E19" s="1023"/>
      <c r="F19" s="1023"/>
      <c r="G19" s="1388"/>
      <c r="H19" s="1020"/>
      <c r="I19" s="1024"/>
    </row>
    <row r="20" spans="1:9" ht="19.5" customHeight="1">
      <c r="A20" s="2244"/>
      <c r="B20" s="2241"/>
      <c r="C20" s="1030" t="s">
        <v>384</v>
      </c>
      <c r="D20" s="1023"/>
      <c r="E20" s="1023"/>
      <c r="F20" s="1023"/>
      <c r="G20" s="1388"/>
      <c r="H20" s="1020"/>
      <c r="I20" s="1024"/>
    </row>
    <row r="21" spans="1:9" ht="19.5" customHeight="1">
      <c r="A21" s="2244"/>
      <c r="B21" s="2242"/>
      <c r="C21" s="1030" t="s">
        <v>385</v>
      </c>
      <c r="D21" s="1031"/>
      <c r="E21" s="1031"/>
      <c r="F21" s="1032"/>
      <c r="G21" s="1390"/>
      <c r="H21" s="1020"/>
      <c r="I21" s="1034"/>
    </row>
    <row r="22" spans="1:9" ht="17.5" thickBot="1">
      <c r="A22" s="2245"/>
      <c r="B22" s="2246" t="s">
        <v>376</v>
      </c>
      <c r="C22" s="2247"/>
      <c r="D22" s="1035"/>
      <c r="E22" s="1035"/>
      <c r="F22" s="1035"/>
      <c r="G22" s="1391"/>
      <c r="H22" s="1036"/>
      <c r="I22" s="1037"/>
    </row>
    <row r="23" spans="1:9" ht="18" customHeight="1">
      <c r="A23" s="2254" t="s">
        <v>386</v>
      </c>
      <c r="B23" s="2251" t="s">
        <v>386</v>
      </c>
      <c r="C23" s="1038" t="s">
        <v>387</v>
      </c>
      <c r="D23" s="1039">
        <v>345791000</v>
      </c>
      <c r="E23" s="1040">
        <v>332908200</v>
      </c>
      <c r="F23" s="1040">
        <v>339191000</v>
      </c>
      <c r="G23" s="1392">
        <f>F23-D23</f>
        <v>-6600000</v>
      </c>
      <c r="H23" s="1041">
        <f>G23/D23*100%</f>
        <v>-1.908667374223158E-2</v>
      </c>
      <c r="I23" s="1190" t="s">
        <v>388</v>
      </c>
    </row>
    <row r="24" spans="1:9" ht="15" customHeight="1">
      <c r="A24" s="2239"/>
      <c r="B24" s="2241"/>
      <c r="C24" s="1042" t="s">
        <v>389</v>
      </c>
      <c r="D24" s="1043">
        <v>35998000</v>
      </c>
      <c r="E24" s="1043">
        <v>35998000</v>
      </c>
      <c r="F24" s="1043">
        <v>35998000</v>
      </c>
      <c r="G24" s="1393">
        <f>F24-D24</f>
        <v>0</v>
      </c>
      <c r="H24" s="1044">
        <f>G24/D24*100%</f>
        <v>0</v>
      </c>
      <c r="I24" s="1045" t="s">
        <v>390</v>
      </c>
    </row>
    <row r="25" spans="1:9" ht="15" customHeight="1">
      <c r="A25" s="2239"/>
      <c r="B25" s="2241"/>
      <c r="C25" s="1042" t="s">
        <v>163</v>
      </c>
      <c r="D25" s="1046"/>
      <c r="E25" s="1046"/>
      <c r="F25" s="1043"/>
      <c r="G25" s="1393"/>
      <c r="H25" s="1044"/>
      <c r="I25" s="1045"/>
    </row>
    <row r="26" spans="1:9" ht="15" customHeight="1">
      <c r="A26" s="2239"/>
      <c r="B26" s="2242"/>
      <c r="C26" s="1042" t="s">
        <v>391</v>
      </c>
      <c r="D26" s="1046"/>
      <c r="E26" s="1046"/>
      <c r="F26" s="1043"/>
      <c r="G26" s="1393"/>
      <c r="H26" s="1044"/>
      <c r="I26" s="1045"/>
    </row>
    <row r="27" spans="1:9" ht="17.5" thickBot="1">
      <c r="A27" s="2240"/>
      <c r="B27" s="2255" t="s">
        <v>392</v>
      </c>
      <c r="C27" s="2256"/>
      <c r="D27" s="1047">
        <f>SUM(D23:D26)</f>
        <v>381789000</v>
      </c>
      <c r="E27" s="1047">
        <f>SUM(E23:E26)</f>
        <v>368906200</v>
      </c>
      <c r="F27" s="1047">
        <f t="shared" ref="F27" si="0">SUM(F23:F26)</f>
        <v>375189000</v>
      </c>
      <c r="G27" s="1394">
        <f>F27-D27</f>
        <v>-6600000</v>
      </c>
      <c r="H27" s="1048">
        <f>G27/D27*100%</f>
        <v>-1.7287035509142484E-2</v>
      </c>
      <c r="I27" s="1049"/>
    </row>
    <row r="28" spans="1:9" ht="20.25" customHeight="1">
      <c r="A28" s="2257" t="s">
        <v>393</v>
      </c>
      <c r="B28" s="2242" t="s">
        <v>393</v>
      </c>
      <c r="C28" s="1050" t="s">
        <v>162</v>
      </c>
      <c r="D28" s="1051">
        <v>1000000</v>
      </c>
      <c r="E28" s="1051">
        <v>0</v>
      </c>
      <c r="F28" s="1051">
        <v>0</v>
      </c>
      <c r="G28" s="1390">
        <f>F28-D28</f>
        <v>-1000000</v>
      </c>
      <c r="H28" s="1020">
        <f>G28/D28*100%</f>
        <v>-1</v>
      </c>
      <c r="I28" s="1052" t="s">
        <v>394</v>
      </c>
    </row>
    <row r="29" spans="1:9" ht="20.25" customHeight="1">
      <c r="A29" s="2258"/>
      <c r="B29" s="2260"/>
      <c r="C29" s="1050" t="s">
        <v>174</v>
      </c>
      <c r="D29" s="1033">
        <v>2500000</v>
      </c>
      <c r="E29" s="1043">
        <v>2100000</v>
      </c>
      <c r="F29" s="1051">
        <v>2500000</v>
      </c>
      <c r="G29" s="1390">
        <f>F29-D29</f>
        <v>0</v>
      </c>
      <c r="H29" s="1020">
        <f>G29/D29*100%</f>
        <v>0</v>
      </c>
      <c r="I29" s="1053"/>
    </row>
    <row r="30" spans="1:9" ht="17.5" thickBot="1">
      <c r="A30" s="2259"/>
      <c r="B30" s="2261" t="s">
        <v>395</v>
      </c>
      <c r="C30" s="2261"/>
      <c r="D30" s="1054">
        <f>SUM(D28:D29)</f>
        <v>3500000</v>
      </c>
      <c r="E30" s="1054">
        <f>SUM(E28:E29)</f>
        <v>2100000</v>
      </c>
      <c r="F30" s="1055">
        <f t="shared" ref="F30" si="1">SUM(F28:F29)</f>
        <v>2500000</v>
      </c>
      <c r="G30" s="1395">
        <f>F30-D30</f>
        <v>-1000000</v>
      </c>
      <c r="H30" s="1056">
        <f>G30/D30*100%</f>
        <v>-0.2857142857142857</v>
      </c>
      <c r="I30" s="1057"/>
    </row>
    <row r="31" spans="1:9" ht="15" customHeight="1">
      <c r="A31" s="2262" t="s">
        <v>396</v>
      </c>
      <c r="B31" s="2251" t="s">
        <v>396</v>
      </c>
      <c r="C31" s="1038" t="s">
        <v>397</v>
      </c>
      <c r="D31" s="1039"/>
      <c r="E31" s="1051"/>
      <c r="F31" s="1051"/>
      <c r="G31" s="1396"/>
      <c r="H31" s="1020"/>
      <c r="I31" s="1058"/>
    </row>
    <row r="32" spans="1:9" ht="15" customHeight="1">
      <c r="A32" s="2263"/>
      <c r="B32" s="2242"/>
      <c r="C32" s="1042" t="s">
        <v>398</v>
      </c>
      <c r="D32" s="1043"/>
      <c r="E32" s="1043"/>
      <c r="F32" s="1043"/>
      <c r="G32" s="1397"/>
      <c r="H32" s="1020"/>
      <c r="I32" s="1059"/>
    </row>
    <row r="33" spans="1:9" ht="17.5" thickBot="1">
      <c r="A33" s="2264"/>
      <c r="B33" s="1060"/>
      <c r="C33" s="1060" t="s">
        <v>399</v>
      </c>
      <c r="D33" s="1061"/>
      <c r="E33" s="1061"/>
      <c r="F33" s="1061"/>
      <c r="G33" s="1398"/>
      <c r="H33" s="1062"/>
      <c r="I33" s="1063"/>
    </row>
    <row r="34" spans="1:9" ht="24" customHeight="1">
      <c r="A34" s="1064"/>
      <c r="B34" s="2241" t="s">
        <v>400</v>
      </c>
      <c r="C34" s="1065" t="s">
        <v>401</v>
      </c>
      <c r="D34" s="1051"/>
      <c r="E34" s="1051"/>
      <c r="F34" s="1051"/>
      <c r="G34" s="1399"/>
      <c r="H34" s="1020"/>
      <c r="I34" s="1066"/>
    </row>
    <row r="35" spans="1:9" ht="24" customHeight="1">
      <c r="A35" s="1064"/>
      <c r="B35" s="2241"/>
      <c r="C35" s="1067" t="s">
        <v>402</v>
      </c>
      <c r="D35" s="1051"/>
      <c r="E35" s="1051"/>
      <c r="F35" s="1051"/>
      <c r="G35" s="1396"/>
      <c r="H35" s="1020"/>
      <c r="I35" s="1066"/>
    </row>
    <row r="36" spans="1:9" ht="24" customHeight="1">
      <c r="A36" s="2249" t="s">
        <v>400</v>
      </c>
      <c r="B36" s="2242"/>
      <c r="C36" s="1067" t="s">
        <v>403</v>
      </c>
      <c r="D36" s="1043"/>
      <c r="E36" s="1043"/>
      <c r="F36" s="1046"/>
      <c r="G36" s="1397"/>
      <c r="H36" s="1020"/>
      <c r="I36" s="1068"/>
    </row>
    <row r="37" spans="1:9" ht="17.5" thickBot="1">
      <c r="A37" s="2250"/>
      <c r="B37" s="2265" t="s">
        <v>395</v>
      </c>
      <c r="C37" s="2266"/>
      <c r="D37" s="1069"/>
      <c r="E37" s="1069"/>
      <c r="F37" s="1069"/>
      <c r="G37" s="1400"/>
      <c r="H37" s="1036"/>
      <c r="I37" s="1070"/>
    </row>
    <row r="38" spans="1:9" ht="19.5" customHeight="1">
      <c r="A38" s="2248" t="s">
        <v>404</v>
      </c>
      <c r="B38" s="2251" t="s">
        <v>404</v>
      </c>
      <c r="C38" s="1071" t="s">
        <v>159</v>
      </c>
      <c r="D38" s="1072">
        <v>12774803</v>
      </c>
      <c r="E38" s="1073">
        <v>12774803</v>
      </c>
      <c r="F38" s="1073">
        <v>12774803</v>
      </c>
      <c r="G38" s="1390">
        <f>F38-D38</f>
        <v>0</v>
      </c>
      <c r="H38" s="1074">
        <f>G38/D38*100%</f>
        <v>0</v>
      </c>
      <c r="I38" s="1075"/>
    </row>
    <row r="39" spans="1:9" ht="19.5" customHeight="1">
      <c r="A39" s="2249"/>
      <c r="B39" s="2242"/>
      <c r="C39" s="1067" t="s">
        <v>405</v>
      </c>
      <c r="D39" s="1076">
        <v>1100294</v>
      </c>
      <c r="E39" s="1043">
        <v>1100294</v>
      </c>
      <c r="F39" s="1046">
        <v>1100294</v>
      </c>
      <c r="G39" s="1390">
        <f>F39-D39</f>
        <v>0</v>
      </c>
      <c r="H39" s="1077">
        <f>G39/D39*100%</f>
        <v>0</v>
      </c>
      <c r="I39" s="1078"/>
    </row>
    <row r="40" spans="1:9" ht="17.5" thickBot="1">
      <c r="A40" s="2250"/>
      <c r="B40" s="2252" t="s">
        <v>395</v>
      </c>
      <c r="C40" s="2253"/>
      <c r="D40" s="1047">
        <f>SUM(D38:D39)</f>
        <v>13875097</v>
      </c>
      <c r="E40" s="1047">
        <f>SUM(E38:E39)</f>
        <v>13875097</v>
      </c>
      <c r="F40" s="1047">
        <f t="shared" ref="F40" si="2">SUM(F38:F39)</f>
        <v>13875097</v>
      </c>
      <c r="G40" s="1401">
        <f>F40-D40</f>
        <v>0</v>
      </c>
      <c r="H40" s="1079">
        <f>G40/D40*100%</f>
        <v>0</v>
      </c>
      <c r="I40" s="1049"/>
    </row>
    <row r="41" spans="1:9" ht="20.25" customHeight="1">
      <c r="A41" s="2267" t="s">
        <v>406</v>
      </c>
      <c r="B41" s="2270" t="s">
        <v>406</v>
      </c>
      <c r="C41" s="1038" t="s">
        <v>407</v>
      </c>
      <c r="D41" s="1039"/>
      <c r="E41" s="1039"/>
      <c r="F41" s="1080"/>
      <c r="G41" s="1402"/>
      <c r="H41" s="1081"/>
      <c r="I41" s="1052"/>
    </row>
    <row r="42" spans="1:9" ht="20.25" customHeight="1">
      <c r="A42" s="2268"/>
      <c r="B42" s="2260"/>
      <c r="C42" s="1042" t="s">
        <v>408</v>
      </c>
      <c r="D42" s="1046">
        <v>10000</v>
      </c>
      <c r="E42" s="1046">
        <v>3129</v>
      </c>
      <c r="F42" s="1046">
        <v>10000</v>
      </c>
      <c r="G42" s="1390">
        <f>F42-D42</f>
        <v>0</v>
      </c>
      <c r="H42" s="1082">
        <f>G42/D42*100%</f>
        <v>0</v>
      </c>
      <c r="I42" s="1083" t="s">
        <v>409</v>
      </c>
    </row>
    <row r="43" spans="1:9" ht="20.25" customHeight="1">
      <c r="A43" s="2268"/>
      <c r="B43" s="2260"/>
      <c r="C43" s="1042" t="s">
        <v>410</v>
      </c>
      <c r="D43" s="1043"/>
      <c r="E43" s="1043"/>
      <c r="F43" s="1046"/>
      <c r="G43" s="1390"/>
      <c r="H43" s="1020"/>
      <c r="I43" s="1068"/>
    </row>
    <row r="44" spans="1:9" ht="20.25" customHeight="1">
      <c r="A44" s="2268"/>
      <c r="B44" s="2260"/>
      <c r="C44" s="1042" t="s">
        <v>171</v>
      </c>
      <c r="D44" s="1043"/>
      <c r="E44" s="1043"/>
      <c r="F44" s="1046"/>
      <c r="G44" s="1390"/>
      <c r="H44" s="1020"/>
      <c r="I44" s="1068"/>
    </row>
    <row r="45" spans="1:9" ht="17.5" thickBot="1">
      <c r="A45" s="2269"/>
      <c r="B45" s="2261" t="s">
        <v>395</v>
      </c>
      <c r="C45" s="2261"/>
      <c r="D45" s="1047">
        <f>SUM(D42:D44)</f>
        <v>10000</v>
      </c>
      <c r="E45" s="1047">
        <f>SUM(E42:E44)</f>
        <v>3129</v>
      </c>
      <c r="F45" s="1047">
        <f t="shared" ref="F45" si="3">SUM(F42:F44)</f>
        <v>10000</v>
      </c>
      <c r="G45" s="1401">
        <f>F45-D45</f>
        <v>0</v>
      </c>
      <c r="H45" s="1079">
        <f>G45/D45*100%</f>
        <v>0</v>
      </c>
      <c r="I45" s="1084"/>
    </row>
    <row r="46" spans="1:9" ht="24.75" customHeight="1">
      <c r="A46" s="2271" t="s">
        <v>411</v>
      </c>
      <c r="B46" s="2274" t="s">
        <v>412</v>
      </c>
      <c r="C46" s="1065" t="s">
        <v>413</v>
      </c>
      <c r="D46" s="1051"/>
      <c r="E46" s="1051"/>
      <c r="F46" s="1085"/>
      <c r="G46" s="1390"/>
      <c r="H46" s="1020"/>
      <c r="I46" s="1066"/>
    </row>
    <row r="47" spans="1:9" ht="24.75" customHeight="1">
      <c r="A47" s="2272"/>
      <c r="B47" s="2275"/>
      <c r="C47" s="1042" t="s">
        <v>414</v>
      </c>
      <c r="D47" s="1043"/>
      <c r="E47" s="1043"/>
      <c r="F47" s="1046"/>
      <c r="G47" s="1390"/>
      <c r="H47" s="1020"/>
      <c r="I47" s="1068"/>
    </row>
    <row r="48" spans="1:9" ht="17.5" thickBot="1">
      <c r="A48" s="2273"/>
      <c r="B48" s="2276" t="s">
        <v>395</v>
      </c>
      <c r="C48" s="2276"/>
      <c r="D48" s="1086"/>
      <c r="E48" s="1086"/>
      <c r="F48" s="1086"/>
      <c r="G48" s="1391"/>
      <c r="H48" s="1020"/>
      <c r="I48" s="1087"/>
    </row>
    <row r="49" spans="1:9" ht="17.5" thickBot="1">
      <c r="A49" s="2277" t="s">
        <v>415</v>
      </c>
      <c r="B49" s="2278"/>
      <c r="C49" s="2279"/>
      <c r="D49" s="1088">
        <f>SUM(D22,D27,D30,D37,D40,D45,D48)</f>
        <v>399174097</v>
      </c>
      <c r="E49" s="1088">
        <f>SUM(E22,E27,E30,E37,E40,E45,E48)</f>
        <v>384884426</v>
      </c>
      <c r="F49" s="1088">
        <f t="shared" ref="F49" si="4">SUM(F22,F27,F30,F37,F40,F45,F48)</f>
        <v>391574097</v>
      </c>
      <c r="G49" s="1403">
        <f>F49-D49</f>
        <v>-7600000</v>
      </c>
      <c r="H49" s="1089">
        <f>G49/D49*100%</f>
        <v>-1.9039311561341116E-2</v>
      </c>
      <c r="I49" s="1090"/>
    </row>
    <row r="50" spans="1:9" ht="18" thickBot="1">
      <c r="A50" s="2280" t="s">
        <v>416</v>
      </c>
      <c r="B50" s="2281"/>
      <c r="C50" s="2281"/>
      <c r="D50" s="2281"/>
      <c r="E50" s="2281"/>
      <c r="F50" s="2281"/>
      <c r="G50" s="2281"/>
      <c r="H50" s="2281"/>
      <c r="I50" s="2281"/>
    </row>
    <row r="51" spans="1:9" ht="17.5" customHeight="1">
      <c r="A51" s="2229" t="s">
        <v>82</v>
      </c>
      <c r="B51" s="2230"/>
      <c r="C51" s="2230"/>
      <c r="D51" s="2231" t="s">
        <v>417</v>
      </c>
      <c r="E51" s="2231" t="s">
        <v>418</v>
      </c>
      <c r="F51" s="2231" t="s">
        <v>419</v>
      </c>
      <c r="G51" s="2233" t="s">
        <v>366</v>
      </c>
      <c r="H51" s="2235" t="s">
        <v>420</v>
      </c>
      <c r="I51" s="2237" t="s">
        <v>421</v>
      </c>
    </row>
    <row r="52" spans="1:9" ht="18" customHeight="1" thickBot="1">
      <c r="A52" s="1016" t="s">
        <v>78</v>
      </c>
      <c r="B52" s="1017" t="s">
        <v>88</v>
      </c>
      <c r="C52" s="1017" t="s">
        <v>89</v>
      </c>
      <c r="D52" s="2232"/>
      <c r="E52" s="2232"/>
      <c r="F52" s="2232"/>
      <c r="G52" s="2234"/>
      <c r="H52" s="2236"/>
      <c r="I52" s="2238"/>
    </row>
    <row r="53" spans="1:9">
      <c r="A53" s="1091" t="s">
        <v>422</v>
      </c>
      <c r="B53" s="2270" t="s">
        <v>423</v>
      </c>
      <c r="C53" s="1092" t="s">
        <v>91</v>
      </c>
      <c r="D53" s="1072">
        <v>167400000</v>
      </c>
      <c r="E53" s="1032">
        <v>126780000</v>
      </c>
      <c r="F53" s="1032">
        <v>154680000</v>
      </c>
      <c r="G53" s="1402">
        <f>F53-D53</f>
        <v>-12720000</v>
      </c>
      <c r="H53" s="1093">
        <f>G53/D53*100%</f>
        <v>-7.5985663082437274E-2</v>
      </c>
      <c r="I53" s="1094" t="s">
        <v>424</v>
      </c>
    </row>
    <row r="54" spans="1:9">
      <c r="A54" s="1095"/>
      <c r="B54" s="2260"/>
      <c r="C54" s="1096" t="s">
        <v>67</v>
      </c>
      <c r="D54" s="1032">
        <v>46342000</v>
      </c>
      <c r="E54" s="1032">
        <v>36985000</v>
      </c>
      <c r="F54" s="1032">
        <v>46342000</v>
      </c>
      <c r="G54" s="1390">
        <f>F54-D54</f>
        <v>0</v>
      </c>
      <c r="H54" s="1097">
        <f>G54/D54*100%</f>
        <v>0</v>
      </c>
      <c r="I54" s="1094" t="s">
        <v>425</v>
      </c>
    </row>
    <row r="55" spans="1:9">
      <c r="A55" s="1095"/>
      <c r="B55" s="2260"/>
      <c r="C55" s="1096" t="s">
        <v>426</v>
      </c>
      <c r="D55" s="1098">
        <v>0</v>
      </c>
      <c r="E55" s="1098">
        <v>0</v>
      </c>
      <c r="F55" s="1032"/>
      <c r="G55" s="1390"/>
      <c r="H55" s="1097"/>
      <c r="I55" s="1094"/>
    </row>
    <row r="56" spans="1:9" ht="22.5" customHeight="1">
      <c r="A56" s="1095"/>
      <c r="B56" s="2260"/>
      <c r="C56" s="1096" t="s">
        <v>427</v>
      </c>
      <c r="D56" s="1032">
        <v>16584000</v>
      </c>
      <c r="E56" s="1032">
        <v>12628000</v>
      </c>
      <c r="F56" s="1032">
        <v>15358000</v>
      </c>
      <c r="G56" s="1390">
        <f t="shared" ref="G56:G69" si="5">F56-D56</f>
        <v>-1226000</v>
      </c>
      <c r="H56" s="1097">
        <f t="shared" ref="H56:H69" si="6">G56/D56*100%</f>
        <v>-7.3926676314520018E-2</v>
      </c>
      <c r="I56" s="1094" t="s">
        <v>428</v>
      </c>
    </row>
    <row r="57" spans="1:9" ht="24" customHeight="1">
      <c r="A57" s="1095"/>
      <c r="B57" s="2260"/>
      <c r="C57" s="1096" t="s">
        <v>180</v>
      </c>
      <c r="D57" s="1032">
        <v>23024000</v>
      </c>
      <c r="E57" s="1032">
        <v>15846520</v>
      </c>
      <c r="F57" s="1032">
        <v>21444000</v>
      </c>
      <c r="G57" s="1390">
        <f t="shared" si="5"/>
        <v>-1580000</v>
      </c>
      <c r="H57" s="1097">
        <f t="shared" si="6"/>
        <v>-6.862404447533009E-2</v>
      </c>
      <c r="I57" s="1094" t="s">
        <v>429</v>
      </c>
    </row>
    <row r="58" spans="1:9" ht="22.5" customHeight="1">
      <c r="A58" s="1095"/>
      <c r="B58" s="2260"/>
      <c r="C58" s="1096" t="s">
        <v>176</v>
      </c>
      <c r="D58" s="1032">
        <v>2000000</v>
      </c>
      <c r="E58" s="1032">
        <v>2000000</v>
      </c>
      <c r="F58" s="1032">
        <v>2000000</v>
      </c>
      <c r="G58" s="1390">
        <f t="shared" si="5"/>
        <v>0</v>
      </c>
      <c r="H58" s="1097">
        <f t="shared" si="6"/>
        <v>0</v>
      </c>
      <c r="I58" s="1094" t="s">
        <v>430</v>
      </c>
    </row>
    <row r="59" spans="1:9" ht="17.5" thickBot="1">
      <c r="A59" s="1095"/>
      <c r="B59" s="2282"/>
      <c r="C59" s="1099" t="s">
        <v>431</v>
      </c>
      <c r="D59" s="1054">
        <f>SUM(D53:D58)</f>
        <v>255350000</v>
      </c>
      <c r="E59" s="1054">
        <f>SUM(E53:E58)</f>
        <v>194239520</v>
      </c>
      <c r="F59" s="1054">
        <f t="shared" ref="F59" si="7">SUM(F53:F58)</f>
        <v>239824000</v>
      </c>
      <c r="G59" s="1401">
        <f t="shared" si="5"/>
        <v>-15526000</v>
      </c>
      <c r="H59" s="1100">
        <f t="shared" si="6"/>
        <v>-6.0802819659291171E-2</v>
      </c>
      <c r="I59" s="1101"/>
    </row>
    <row r="60" spans="1:9" ht="19.5" customHeight="1">
      <c r="A60" s="1095"/>
      <c r="B60" s="2270" t="s">
        <v>432</v>
      </c>
      <c r="C60" s="1071" t="s">
        <v>148</v>
      </c>
      <c r="D60" s="1072">
        <v>1400000</v>
      </c>
      <c r="E60" s="1102">
        <v>860770</v>
      </c>
      <c r="F60" s="1032">
        <v>1400000</v>
      </c>
      <c r="G60" s="1402">
        <f t="shared" si="5"/>
        <v>0</v>
      </c>
      <c r="H60" s="1093">
        <f t="shared" si="6"/>
        <v>0</v>
      </c>
      <c r="I60" s="1094" t="s">
        <v>433</v>
      </c>
    </row>
    <row r="61" spans="1:9" ht="21" customHeight="1">
      <c r="A61" s="1095"/>
      <c r="B61" s="2260"/>
      <c r="C61" s="1103" t="s">
        <v>434</v>
      </c>
      <c r="D61" s="1098">
        <v>0</v>
      </c>
      <c r="E61" s="1098">
        <v>0</v>
      </c>
      <c r="F61" s="1098">
        <v>0</v>
      </c>
      <c r="G61" s="1390">
        <f t="shared" si="5"/>
        <v>0</v>
      </c>
      <c r="H61" s="1097" t="e">
        <f t="shared" si="6"/>
        <v>#DIV/0!</v>
      </c>
      <c r="I61" s="1094"/>
    </row>
    <row r="62" spans="1:9" ht="25.5" customHeight="1">
      <c r="A62" s="1095"/>
      <c r="B62" s="2260"/>
      <c r="C62" s="1096" t="s">
        <v>83</v>
      </c>
      <c r="D62" s="1098">
        <v>0</v>
      </c>
      <c r="E62" s="1098">
        <v>0</v>
      </c>
      <c r="F62" s="1098">
        <v>0</v>
      </c>
      <c r="G62" s="1390">
        <f t="shared" si="5"/>
        <v>0</v>
      </c>
      <c r="H62" s="1097" t="e">
        <f t="shared" si="6"/>
        <v>#DIV/0!</v>
      </c>
      <c r="I62" s="1094"/>
    </row>
    <row r="63" spans="1:9" ht="17.5" thickBot="1">
      <c r="A63" s="1095"/>
      <c r="B63" s="2282"/>
      <c r="C63" s="1099" t="s">
        <v>435</v>
      </c>
      <c r="D63" s="1054">
        <f>SUM(D60:D62)</f>
        <v>1400000</v>
      </c>
      <c r="E63" s="1054">
        <f>SUM(E60:E62)</f>
        <v>860770</v>
      </c>
      <c r="F63" s="1054">
        <f t="shared" ref="F63" si="8">SUM(F60:F62)</f>
        <v>1400000</v>
      </c>
      <c r="G63" s="1398">
        <f t="shared" si="5"/>
        <v>0</v>
      </c>
      <c r="H63" s="1104">
        <f t="shared" si="6"/>
        <v>0</v>
      </c>
      <c r="I63" s="1101"/>
    </row>
    <row r="64" spans="1:9">
      <c r="A64" s="1095"/>
      <c r="B64" s="2270" t="s">
        <v>436</v>
      </c>
      <c r="C64" s="1092" t="s">
        <v>60</v>
      </c>
      <c r="D64" s="1032">
        <v>1700000</v>
      </c>
      <c r="E64" s="1105">
        <v>916400</v>
      </c>
      <c r="F64" s="1073">
        <v>2800000</v>
      </c>
      <c r="G64" s="1402">
        <f t="shared" si="5"/>
        <v>1100000</v>
      </c>
      <c r="H64" s="1093">
        <f t="shared" si="6"/>
        <v>0.6470588235294118</v>
      </c>
      <c r="I64" s="1094" t="s">
        <v>437</v>
      </c>
    </row>
    <row r="65" spans="1:9" ht="17.25" customHeight="1">
      <c r="A65" s="1095"/>
      <c r="B65" s="2260"/>
      <c r="C65" s="1106" t="s">
        <v>97</v>
      </c>
      <c r="D65" s="1107">
        <v>13361000</v>
      </c>
      <c r="E65" s="1046">
        <v>8621255</v>
      </c>
      <c r="F65" s="1046">
        <v>19847000</v>
      </c>
      <c r="G65" s="1404">
        <f t="shared" si="5"/>
        <v>6486000</v>
      </c>
      <c r="H65" s="1097">
        <f t="shared" si="6"/>
        <v>0.48544270638425269</v>
      </c>
      <c r="I65" s="1094" t="s">
        <v>438</v>
      </c>
    </row>
    <row r="66" spans="1:9" ht="22.5" customHeight="1">
      <c r="A66" s="1095"/>
      <c r="B66" s="2260"/>
      <c r="C66" s="1106" t="s">
        <v>439</v>
      </c>
      <c r="D66" s="1107">
        <v>7930000</v>
      </c>
      <c r="E66" s="1046">
        <v>6911350</v>
      </c>
      <c r="F66" s="1046">
        <v>9188000</v>
      </c>
      <c r="G66" s="1404">
        <f t="shared" si="5"/>
        <v>1258000</v>
      </c>
      <c r="H66" s="1097">
        <f t="shared" si="6"/>
        <v>0.15863808322824716</v>
      </c>
      <c r="I66" s="1094" t="s">
        <v>440</v>
      </c>
    </row>
    <row r="67" spans="1:9" ht="17.25" customHeight="1">
      <c r="A67" s="1095"/>
      <c r="B67" s="2260"/>
      <c r="C67" s="1106" t="s">
        <v>168</v>
      </c>
      <c r="D67" s="1107">
        <v>2300000</v>
      </c>
      <c r="E67" s="1046">
        <v>1029870</v>
      </c>
      <c r="F67" s="1046">
        <v>2400000</v>
      </c>
      <c r="G67" s="1404">
        <f t="shared" si="5"/>
        <v>100000</v>
      </c>
      <c r="H67" s="1097">
        <f t="shared" si="6"/>
        <v>4.3478260869565216E-2</v>
      </c>
      <c r="I67" s="1094" t="s">
        <v>441</v>
      </c>
    </row>
    <row r="68" spans="1:9">
      <c r="A68" s="1108"/>
      <c r="B68" s="2260"/>
      <c r="C68" s="1106" t="s">
        <v>68</v>
      </c>
      <c r="D68" s="1109">
        <v>800000</v>
      </c>
      <c r="E68" s="1046">
        <v>851000</v>
      </c>
      <c r="F68" s="1046">
        <v>1820000</v>
      </c>
      <c r="G68" s="1405">
        <f t="shared" si="5"/>
        <v>1020000</v>
      </c>
      <c r="H68" s="1097">
        <f t="shared" si="6"/>
        <v>1.2749999999999999</v>
      </c>
      <c r="I68" s="1110" t="s">
        <v>442</v>
      </c>
    </row>
    <row r="69" spans="1:9">
      <c r="A69" s="1108"/>
      <c r="B69" s="2260"/>
      <c r="C69" s="1111" t="s">
        <v>443</v>
      </c>
      <c r="D69" s="1112">
        <v>0</v>
      </c>
      <c r="E69" s="1113">
        <v>0</v>
      </c>
      <c r="F69" s="1114"/>
      <c r="G69" s="1406">
        <f t="shared" si="5"/>
        <v>0</v>
      </c>
      <c r="H69" s="1097" t="e">
        <f t="shared" si="6"/>
        <v>#DIV/0!</v>
      </c>
      <c r="I69" s="1115"/>
    </row>
    <row r="70" spans="1:9" ht="16.5" customHeight="1">
      <c r="A70" s="1108"/>
      <c r="B70" s="2260"/>
      <c r="C70" s="1067" t="s">
        <v>151</v>
      </c>
      <c r="D70" s="1116">
        <v>3860000</v>
      </c>
      <c r="E70" s="1112">
        <v>2960000</v>
      </c>
      <c r="F70" s="1117">
        <v>3692000</v>
      </c>
      <c r="G70" s="1397">
        <f>F70-D70</f>
        <v>-168000</v>
      </c>
      <c r="H70" s="1097">
        <f>G70/D70*100%</f>
        <v>-4.3523316062176166E-2</v>
      </c>
      <c r="I70" s="1115" t="s">
        <v>444</v>
      </c>
    </row>
    <row r="71" spans="1:9" ht="17.5" thickBot="1">
      <c r="A71" s="1108"/>
      <c r="B71" s="2282"/>
      <c r="C71" s="1099" t="s">
        <v>435</v>
      </c>
      <c r="D71" s="1118">
        <f>SUM(D64:D70)</f>
        <v>29951000</v>
      </c>
      <c r="E71" s="1118">
        <f>SUM(E64:E70)</f>
        <v>21289875</v>
      </c>
      <c r="F71" s="1118">
        <f t="shared" ref="F71" si="9">SUM(F64:F70)</f>
        <v>39747000</v>
      </c>
      <c r="G71" s="1401">
        <f>F71-D71</f>
        <v>9796000</v>
      </c>
      <c r="H71" s="1100">
        <f>G71/D71*100%</f>
        <v>0.32706754365463592</v>
      </c>
      <c r="I71" s="1094"/>
    </row>
    <row r="72" spans="1:9" ht="17.5" thickBot="1">
      <c r="A72" s="1119" t="s">
        <v>445</v>
      </c>
      <c r="B72" s="2283" t="s">
        <v>395</v>
      </c>
      <c r="C72" s="2284"/>
      <c r="D72" s="1120">
        <f>SUM(D59,D63,D71)</f>
        <v>286701000</v>
      </c>
      <c r="E72" s="1120">
        <f>SUM(E59,E63,E71)</f>
        <v>216390165</v>
      </c>
      <c r="F72" s="1121">
        <f>SUM(F59,F63,F71)</f>
        <v>280971000</v>
      </c>
      <c r="G72" s="1401">
        <f>F72-D72</f>
        <v>-5730000</v>
      </c>
      <c r="H72" s="1100">
        <f>G72/D72*100%</f>
        <v>-1.9985978423514392E-2</v>
      </c>
      <c r="I72" s="1122"/>
    </row>
    <row r="73" spans="1:9" ht="18" customHeight="1">
      <c r="A73" s="2257" t="s">
        <v>446</v>
      </c>
      <c r="B73" s="2242" t="s">
        <v>447</v>
      </c>
      <c r="C73" s="1050" t="s">
        <v>147</v>
      </c>
      <c r="D73" s="1123">
        <v>5740000</v>
      </c>
      <c r="E73" s="1123">
        <v>218000</v>
      </c>
      <c r="F73" s="1123">
        <v>218000</v>
      </c>
      <c r="G73" s="1402">
        <f>F73-D73</f>
        <v>-5522000</v>
      </c>
      <c r="H73" s="1124">
        <f>G73/D73*100%</f>
        <v>-0.96202090592334499</v>
      </c>
      <c r="I73" s="1094" t="s">
        <v>448</v>
      </c>
    </row>
    <row r="74" spans="1:9" ht="16.5" customHeight="1">
      <c r="A74" s="2257"/>
      <c r="B74" s="2242"/>
      <c r="C74" s="1050" t="s">
        <v>449</v>
      </c>
      <c r="D74" s="1117">
        <v>0</v>
      </c>
      <c r="E74" s="1117">
        <v>0</v>
      </c>
      <c r="F74" s="1117">
        <v>0</v>
      </c>
      <c r="G74" s="1390"/>
      <c r="H74" s="1125"/>
      <c r="I74" s="1126"/>
    </row>
    <row r="75" spans="1:9" ht="20.25" customHeight="1">
      <c r="A75" s="2258"/>
      <c r="B75" s="2260"/>
      <c r="C75" s="1067" t="s">
        <v>99</v>
      </c>
      <c r="D75" s="1117">
        <v>1102294</v>
      </c>
      <c r="E75" s="1117">
        <v>2365000</v>
      </c>
      <c r="F75" s="1117">
        <v>6024294</v>
      </c>
      <c r="G75" s="1390">
        <f t="shared" ref="G75:G82" si="10">F75-D75</f>
        <v>4922000</v>
      </c>
      <c r="H75" s="1125">
        <f t="shared" ref="H75:H82" si="11">G75/D75*100%</f>
        <v>4.4652334132273239</v>
      </c>
      <c r="I75" s="1110" t="s">
        <v>450</v>
      </c>
    </row>
    <row r="76" spans="1:9" ht="17.5" thickBot="1">
      <c r="A76" s="2259"/>
      <c r="B76" s="2285" t="s">
        <v>395</v>
      </c>
      <c r="C76" s="2286"/>
      <c r="D76" s="1127">
        <f>SUM(D73:D75)</f>
        <v>6842294</v>
      </c>
      <c r="E76" s="1127">
        <f>SUM(E73:E75)</f>
        <v>2583000</v>
      </c>
      <c r="F76" s="1127">
        <f t="shared" ref="F76" si="12">SUM(F73:F75)</f>
        <v>6242294</v>
      </c>
      <c r="G76" s="1401">
        <f t="shared" si="10"/>
        <v>-600000</v>
      </c>
      <c r="H76" s="1128">
        <f t="shared" si="11"/>
        <v>-8.7689888800452018E-2</v>
      </c>
      <c r="I76" s="1129"/>
    </row>
    <row r="77" spans="1:9">
      <c r="A77" s="2287" t="s">
        <v>451</v>
      </c>
      <c r="B77" s="2290" t="s">
        <v>436</v>
      </c>
      <c r="C77" s="1130" t="s">
        <v>452</v>
      </c>
      <c r="D77" s="1131">
        <v>34318000</v>
      </c>
      <c r="E77" s="1132">
        <v>15624119</v>
      </c>
      <c r="F77" s="1085">
        <v>27428000</v>
      </c>
      <c r="G77" s="1396">
        <f t="shared" si="10"/>
        <v>-6890000</v>
      </c>
      <c r="H77" s="1133">
        <f t="shared" si="11"/>
        <v>-0.20076927559881111</v>
      </c>
      <c r="I77" s="1134" t="s">
        <v>453</v>
      </c>
    </row>
    <row r="78" spans="1:9">
      <c r="A78" s="2288"/>
      <c r="B78" s="2291"/>
      <c r="C78" s="1135" t="s">
        <v>454</v>
      </c>
      <c r="D78" s="1132">
        <v>2480000</v>
      </c>
      <c r="E78" s="1132">
        <v>1035790</v>
      </c>
      <c r="F78" s="1085">
        <v>7600000</v>
      </c>
      <c r="G78" s="1397">
        <f t="shared" si="10"/>
        <v>5120000</v>
      </c>
      <c r="H78" s="1082">
        <f t="shared" si="11"/>
        <v>2.064516129032258</v>
      </c>
      <c r="I78" s="1134" t="s">
        <v>455</v>
      </c>
    </row>
    <row r="79" spans="1:9">
      <c r="A79" s="2288"/>
      <c r="B79" s="2291"/>
      <c r="C79" s="1135" t="s">
        <v>456</v>
      </c>
      <c r="D79" s="1132">
        <v>550000</v>
      </c>
      <c r="E79" s="1132">
        <v>0</v>
      </c>
      <c r="F79" s="1085">
        <v>550000</v>
      </c>
      <c r="G79" s="1397">
        <f t="shared" si="10"/>
        <v>0</v>
      </c>
      <c r="H79" s="1082">
        <f t="shared" si="11"/>
        <v>0</v>
      </c>
      <c r="I79" s="1134" t="s">
        <v>457</v>
      </c>
    </row>
    <row r="80" spans="1:9">
      <c r="A80" s="2288"/>
      <c r="B80" s="2291"/>
      <c r="C80" s="1136" t="s">
        <v>458</v>
      </c>
      <c r="D80" s="1137">
        <v>1000000</v>
      </c>
      <c r="E80" s="1132">
        <v>0</v>
      </c>
      <c r="F80" s="1085">
        <v>1000000</v>
      </c>
      <c r="G80" s="1397">
        <f t="shared" si="10"/>
        <v>0</v>
      </c>
      <c r="H80" s="1082">
        <f t="shared" si="11"/>
        <v>0</v>
      </c>
      <c r="I80" s="1115" t="s">
        <v>459</v>
      </c>
    </row>
    <row r="81" spans="1:9">
      <c r="A81" s="2288"/>
      <c r="B81" s="2291"/>
      <c r="C81" s="1136" t="s">
        <v>460</v>
      </c>
      <c r="D81" s="1137">
        <v>300000</v>
      </c>
      <c r="E81" s="1132">
        <v>176420</v>
      </c>
      <c r="F81" s="1085">
        <v>300000</v>
      </c>
      <c r="G81" s="1397">
        <f t="shared" si="10"/>
        <v>0</v>
      </c>
      <c r="H81" s="1082">
        <f t="shared" si="11"/>
        <v>0</v>
      </c>
      <c r="I81" s="1115" t="s">
        <v>461</v>
      </c>
    </row>
    <row r="82" spans="1:9" ht="17.5" thickBot="1">
      <c r="A82" s="2288"/>
      <c r="B82" s="2292"/>
      <c r="C82" s="1099" t="s">
        <v>435</v>
      </c>
      <c r="D82" s="1047">
        <f>SUM(D77:D81)</f>
        <v>38648000</v>
      </c>
      <c r="E82" s="1047">
        <f>SUM(E77:E81)</f>
        <v>16836329</v>
      </c>
      <c r="F82" s="1047">
        <f t="shared" ref="F82" si="13">SUM(F77:F81)</f>
        <v>36878000</v>
      </c>
      <c r="G82" s="1407">
        <f t="shared" si="10"/>
        <v>-1770000</v>
      </c>
      <c r="H82" s="1100">
        <f t="shared" si="11"/>
        <v>-4.5797971434485614E-2</v>
      </c>
      <c r="I82" s="1138"/>
    </row>
    <row r="83" spans="1:9" ht="15.75" customHeight="1">
      <c r="A83" s="2288"/>
      <c r="B83" s="2251" t="s">
        <v>451</v>
      </c>
      <c r="C83" s="1071" t="s">
        <v>462</v>
      </c>
      <c r="D83" s="1132"/>
      <c r="E83" s="1080"/>
      <c r="F83" s="1080"/>
      <c r="G83" s="1399"/>
      <c r="H83" s="1093"/>
      <c r="I83" s="1134"/>
    </row>
    <row r="84" spans="1:9" ht="15.75" customHeight="1">
      <c r="A84" s="2288"/>
      <c r="B84" s="2241"/>
      <c r="C84" s="1067" t="s">
        <v>463</v>
      </c>
      <c r="D84" s="1137"/>
      <c r="E84" s="1046"/>
      <c r="F84" s="1046"/>
      <c r="G84" s="1397"/>
      <c r="H84" s="1097"/>
      <c r="I84" s="1115"/>
    </row>
    <row r="85" spans="1:9" ht="15.75" customHeight="1">
      <c r="A85" s="2288"/>
      <c r="B85" s="2241"/>
      <c r="C85" s="1067" t="s">
        <v>464</v>
      </c>
      <c r="D85" s="1137"/>
      <c r="E85" s="1046"/>
      <c r="F85" s="1046"/>
      <c r="G85" s="1397"/>
      <c r="H85" s="1097"/>
      <c r="I85" s="1115"/>
    </row>
    <row r="86" spans="1:9" ht="15.75" customHeight="1">
      <c r="A86" s="2288"/>
      <c r="B86" s="2241"/>
      <c r="C86" s="1067" t="s">
        <v>465</v>
      </c>
      <c r="D86" s="1137"/>
      <c r="E86" s="1046"/>
      <c r="F86" s="1046"/>
      <c r="G86" s="1397"/>
      <c r="H86" s="1097"/>
      <c r="I86" s="1115"/>
    </row>
    <row r="87" spans="1:9" ht="15.75" customHeight="1">
      <c r="A87" s="2288"/>
      <c r="B87" s="2241"/>
      <c r="C87" s="1067" t="s">
        <v>466</v>
      </c>
      <c r="D87" s="1137"/>
      <c r="E87" s="1046"/>
      <c r="F87" s="1046"/>
      <c r="G87" s="1397"/>
      <c r="H87" s="1097"/>
      <c r="I87" s="1115"/>
    </row>
    <row r="88" spans="1:9" ht="15.75" customHeight="1">
      <c r="A88" s="2288"/>
      <c r="B88" s="2241"/>
      <c r="C88" s="1067" t="s">
        <v>467</v>
      </c>
      <c r="D88" s="1046"/>
      <c r="E88" s="1046"/>
      <c r="F88" s="1046"/>
      <c r="G88" s="1397"/>
      <c r="H88" s="1097"/>
      <c r="I88" s="1115"/>
    </row>
    <row r="89" spans="1:9" ht="15.75" customHeight="1">
      <c r="A89" s="2288"/>
      <c r="B89" s="2241"/>
      <c r="C89" s="1067" t="s">
        <v>468</v>
      </c>
      <c r="D89" s="1046"/>
      <c r="E89" s="1046"/>
      <c r="F89" s="1046"/>
      <c r="G89" s="1397"/>
      <c r="H89" s="1097"/>
      <c r="I89" s="1115"/>
    </row>
    <row r="90" spans="1:9" ht="15.75" customHeight="1">
      <c r="A90" s="2288"/>
      <c r="B90" s="2241"/>
      <c r="C90" s="1067" t="s">
        <v>469</v>
      </c>
      <c r="D90" s="1046"/>
      <c r="E90" s="1046"/>
      <c r="F90" s="1046"/>
      <c r="G90" s="1397"/>
      <c r="H90" s="1097"/>
      <c r="I90" s="1115"/>
    </row>
    <row r="91" spans="1:9" ht="15.75" customHeight="1">
      <c r="A91" s="2288"/>
      <c r="B91" s="2241"/>
      <c r="C91" s="1067" t="s">
        <v>470</v>
      </c>
      <c r="D91" s="1046"/>
      <c r="E91" s="1046"/>
      <c r="F91" s="1046"/>
      <c r="G91" s="1397"/>
      <c r="H91" s="1097"/>
      <c r="I91" s="1115"/>
    </row>
    <row r="92" spans="1:9" ht="15.75" customHeight="1">
      <c r="A92" s="2288"/>
      <c r="B92" s="2241"/>
      <c r="C92" s="1067" t="s">
        <v>471</v>
      </c>
      <c r="D92" s="1046">
        <v>3500000</v>
      </c>
      <c r="E92" s="1046">
        <v>0</v>
      </c>
      <c r="F92" s="1043">
        <v>3500000</v>
      </c>
      <c r="G92" s="1397">
        <f>F92-D92</f>
        <v>0</v>
      </c>
      <c r="H92" s="1082">
        <f>G92/D92*100%</f>
        <v>0</v>
      </c>
      <c r="I92" s="1115" t="s">
        <v>472</v>
      </c>
    </row>
    <row r="93" spans="1:9" ht="15.75" customHeight="1">
      <c r="A93" s="2288"/>
      <c r="B93" s="2241"/>
      <c r="C93" s="1067" t="s">
        <v>473</v>
      </c>
      <c r="D93" s="1046"/>
      <c r="E93" s="1046"/>
      <c r="F93" s="1046"/>
      <c r="G93" s="1397"/>
      <c r="H93" s="1097"/>
      <c r="I93" s="1115"/>
    </row>
    <row r="94" spans="1:9" ht="15.75" customHeight="1">
      <c r="A94" s="2288"/>
      <c r="B94" s="2241"/>
      <c r="C94" s="1067" t="s">
        <v>474</v>
      </c>
      <c r="D94" s="1046"/>
      <c r="E94" s="1046"/>
      <c r="F94" s="1046"/>
      <c r="G94" s="1397"/>
      <c r="H94" s="1097"/>
      <c r="I94" s="1115"/>
    </row>
    <row r="95" spans="1:9" ht="15.75" customHeight="1">
      <c r="A95" s="2288"/>
      <c r="B95" s="2241"/>
      <c r="C95" s="1067" t="s">
        <v>475</v>
      </c>
      <c r="D95" s="1046"/>
      <c r="E95" s="1046"/>
      <c r="F95" s="1046"/>
      <c r="G95" s="1397"/>
      <c r="H95" s="1097"/>
      <c r="I95" s="1115"/>
    </row>
    <row r="96" spans="1:9" ht="15.75" customHeight="1">
      <c r="A96" s="2288"/>
      <c r="B96" s="2241"/>
      <c r="C96" s="1067" t="s">
        <v>476</v>
      </c>
      <c r="D96" s="1046"/>
      <c r="E96" s="1046"/>
      <c r="F96" s="1046"/>
      <c r="G96" s="1397"/>
      <c r="H96" s="1097"/>
      <c r="I96" s="1115"/>
    </row>
    <row r="97" spans="1:9" ht="15.75" customHeight="1">
      <c r="A97" s="2288"/>
      <c r="B97" s="2241"/>
      <c r="C97" s="1067" t="s">
        <v>477</v>
      </c>
      <c r="D97" s="1046"/>
      <c r="E97" s="1046"/>
      <c r="F97" s="1046"/>
      <c r="G97" s="1397"/>
      <c r="H97" s="1097"/>
      <c r="I97" s="1115"/>
    </row>
    <row r="98" spans="1:9" ht="15.75" customHeight="1">
      <c r="A98" s="2288"/>
      <c r="B98" s="2241"/>
      <c r="C98" s="1067" t="s">
        <v>478</v>
      </c>
      <c r="D98" s="1046"/>
      <c r="E98" s="1046"/>
      <c r="F98" s="1046"/>
      <c r="G98" s="1397"/>
      <c r="H98" s="1097"/>
      <c r="I98" s="1115"/>
    </row>
    <row r="99" spans="1:9" ht="15.75" customHeight="1">
      <c r="A99" s="2288"/>
      <c r="B99" s="2241"/>
      <c r="C99" s="1067" t="s">
        <v>479</v>
      </c>
      <c r="D99" s="1046"/>
      <c r="E99" s="1046"/>
      <c r="F99" s="1046"/>
      <c r="G99" s="1397"/>
      <c r="H99" s="1097"/>
      <c r="I99" s="1115"/>
    </row>
    <row r="100" spans="1:9" ht="15.75" customHeight="1">
      <c r="A100" s="2288"/>
      <c r="B100" s="2241"/>
      <c r="C100" s="1067" t="s">
        <v>480</v>
      </c>
      <c r="D100" s="1137"/>
      <c r="E100" s="1137"/>
      <c r="F100" s="1046"/>
      <c r="G100" s="1397"/>
      <c r="H100" s="1097"/>
      <c r="I100" s="1115"/>
    </row>
    <row r="101" spans="1:9" ht="19.5" customHeight="1">
      <c r="A101" s="2288"/>
      <c r="B101" s="2241"/>
      <c r="C101" s="1067" t="s">
        <v>481</v>
      </c>
      <c r="D101" s="1137">
        <v>4700000</v>
      </c>
      <c r="E101" s="1137">
        <v>871010</v>
      </c>
      <c r="F101" s="1046">
        <v>4700000</v>
      </c>
      <c r="G101" s="1397">
        <f t="shared" ref="G101:G111" si="14">F101-D101</f>
        <v>0</v>
      </c>
      <c r="H101" s="1082">
        <f t="shared" ref="H101:H106" si="15">G101/D101*100%</f>
        <v>0</v>
      </c>
      <c r="I101" s="1115" t="s">
        <v>482</v>
      </c>
    </row>
    <row r="102" spans="1:9" ht="16.5" customHeight="1">
      <c r="A102" s="2288"/>
      <c r="B102" s="2241"/>
      <c r="C102" s="1067" t="s">
        <v>483</v>
      </c>
      <c r="D102" s="1137">
        <v>37708000</v>
      </c>
      <c r="E102" s="1137">
        <v>30199488</v>
      </c>
      <c r="F102" s="1046">
        <v>38208000</v>
      </c>
      <c r="G102" s="1397">
        <f t="shared" si="14"/>
        <v>500000</v>
      </c>
      <c r="H102" s="1082">
        <f t="shared" si="15"/>
        <v>1.3259785721862734E-2</v>
      </c>
      <c r="I102" s="1115" t="s">
        <v>484</v>
      </c>
    </row>
    <row r="103" spans="1:9" ht="17.25" customHeight="1">
      <c r="A103" s="2288"/>
      <c r="B103" s="2241"/>
      <c r="C103" s="1067" t="s">
        <v>485</v>
      </c>
      <c r="D103" s="1137">
        <v>1500000</v>
      </c>
      <c r="E103" s="1137">
        <v>0</v>
      </c>
      <c r="F103" s="1046">
        <v>1500000</v>
      </c>
      <c r="G103" s="1397">
        <f t="shared" si="14"/>
        <v>0</v>
      </c>
      <c r="H103" s="1082">
        <f t="shared" si="15"/>
        <v>0</v>
      </c>
      <c r="I103" s="1115" t="s">
        <v>486</v>
      </c>
    </row>
    <row r="104" spans="1:9" ht="21" customHeight="1">
      <c r="A104" s="2288"/>
      <c r="B104" s="2241"/>
      <c r="C104" s="1067" t="s">
        <v>487</v>
      </c>
      <c r="D104" s="1137">
        <v>6792000</v>
      </c>
      <c r="E104" s="1137">
        <v>14500</v>
      </c>
      <c r="F104" s="1046">
        <v>6792000</v>
      </c>
      <c r="G104" s="1397">
        <f t="shared" si="14"/>
        <v>0</v>
      </c>
      <c r="H104" s="1082">
        <f t="shared" si="15"/>
        <v>0</v>
      </c>
      <c r="I104" s="1115" t="s">
        <v>488</v>
      </c>
    </row>
    <row r="105" spans="1:9" ht="17.5" thickBot="1">
      <c r="A105" s="2288"/>
      <c r="B105" s="2293"/>
      <c r="C105" s="1099" t="s">
        <v>435</v>
      </c>
      <c r="D105" s="1047">
        <f>SUM(D83:D104)</f>
        <v>54200000</v>
      </c>
      <c r="E105" s="1047">
        <f>SUM(E83:E104)</f>
        <v>31084998</v>
      </c>
      <c r="F105" s="1047">
        <f>SUM(F83:F104)</f>
        <v>54700000</v>
      </c>
      <c r="G105" s="1407">
        <f t="shared" si="14"/>
        <v>500000</v>
      </c>
      <c r="H105" s="1100">
        <f t="shared" si="15"/>
        <v>9.2250922509225092E-3</v>
      </c>
      <c r="I105" s="1115" t="s">
        <v>489</v>
      </c>
    </row>
    <row r="106" spans="1:9" ht="17.5" thickBot="1">
      <c r="A106" s="2289"/>
      <c r="B106" s="2294" t="s">
        <v>395</v>
      </c>
      <c r="C106" s="2294"/>
      <c r="D106" s="1139">
        <f>SUM(D82,D105)</f>
        <v>92848000</v>
      </c>
      <c r="E106" s="1139">
        <f>SUM(E82,E105)</f>
        <v>47921327</v>
      </c>
      <c r="F106" s="1139">
        <f>SUM(F82,F105)</f>
        <v>91578000</v>
      </c>
      <c r="G106" s="1401">
        <f t="shared" si="14"/>
        <v>-1270000</v>
      </c>
      <c r="H106" s="1140">
        <f t="shared" si="15"/>
        <v>-1.3678269860417026E-2</v>
      </c>
      <c r="I106" s="1141"/>
    </row>
    <row r="107" spans="1:9">
      <c r="A107" s="2288" t="s">
        <v>490</v>
      </c>
      <c r="B107" s="1142" t="s">
        <v>490</v>
      </c>
      <c r="C107" s="1103" t="s">
        <v>80</v>
      </c>
      <c r="D107" s="1143"/>
      <c r="E107" s="1039">
        <v>0</v>
      </c>
      <c r="F107" s="1117"/>
      <c r="G107" s="1390">
        <f t="shared" si="14"/>
        <v>0</v>
      </c>
      <c r="H107" s="1097"/>
      <c r="I107" s="1094"/>
    </row>
    <row r="108" spans="1:9" ht="17.5" thickBot="1">
      <c r="A108" s="2289"/>
      <c r="B108" s="2252" t="s">
        <v>395</v>
      </c>
      <c r="C108" s="2253"/>
      <c r="D108" s="1144">
        <f>D107</f>
        <v>0</v>
      </c>
      <c r="E108" s="1144"/>
      <c r="F108" s="1144">
        <f t="shared" ref="F108" si="16">F107</f>
        <v>0</v>
      </c>
      <c r="G108" s="1400">
        <f t="shared" si="14"/>
        <v>0</v>
      </c>
      <c r="H108" s="1145"/>
      <c r="I108" s="1146"/>
    </row>
    <row r="109" spans="1:9">
      <c r="A109" s="2299" t="s">
        <v>491</v>
      </c>
      <c r="B109" s="2242" t="s">
        <v>491</v>
      </c>
      <c r="C109" s="1050" t="s">
        <v>492</v>
      </c>
      <c r="D109" s="1147"/>
      <c r="E109" s="1147">
        <v>0</v>
      </c>
      <c r="F109" s="1148"/>
      <c r="G109" s="1408">
        <f t="shared" si="14"/>
        <v>0</v>
      </c>
      <c r="H109" s="1097"/>
      <c r="I109" s="1149"/>
    </row>
    <row r="110" spans="1:9">
      <c r="A110" s="2299"/>
      <c r="B110" s="2260"/>
      <c r="C110" s="1067" t="s">
        <v>63</v>
      </c>
      <c r="D110" s="1117">
        <v>12782803</v>
      </c>
      <c r="E110" s="1117">
        <v>12774803</v>
      </c>
      <c r="F110" s="1117">
        <v>12782803</v>
      </c>
      <c r="G110" s="1390">
        <f t="shared" si="14"/>
        <v>0</v>
      </c>
      <c r="H110" s="1097">
        <f>G110/D110*100%</f>
        <v>0</v>
      </c>
      <c r="I110" s="1094" t="s">
        <v>493</v>
      </c>
    </row>
    <row r="111" spans="1:9" ht="17.5" thickBot="1">
      <c r="A111" s="2300"/>
      <c r="B111" s="2283" t="s">
        <v>395</v>
      </c>
      <c r="C111" s="2284"/>
      <c r="D111" s="1121">
        <f>SUM(D109:D110)</f>
        <v>12782803</v>
      </c>
      <c r="E111" s="1121">
        <f>SUM(E109:E110)</f>
        <v>12774803</v>
      </c>
      <c r="F111" s="1121">
        <f t="shared" ref="F111" si="17">SUM(F109:F110)</f>
        <v>12782803</v>
      </c>
      <c r="G111" s="1409">
        <f t="shared" si="14"/>
        <v>0</v>
      </c>
      <c r="H111" s="1150">
        <f>G111/D111*100%</f>
        <v>0</v>
      </c>
      <c r="I111" s="1146"/>
    </row>
    <row r="112" spans="1:9" ht="17.5" thickBot="1">
      <c r="A112" s="2301" t="s">
        <v>494</v>
      </c>
      <c r="B112" s="2302" t="s">
        <v>495</v>
      </c>
      <c r="C112" s="1071" t="s">
        <v>496</v>
      </c>
      <c r="D112" s="1151"/>
      <c r="E112" s="1152">
        <v>0</v>
      </c>
      <c r="F112" s="1153"/>
      <c r="G112" s="1402"/>
      <c r="H112" s="1154"/>
      <c r="I112" s="1155"/>
    </row>
    <row r="113" spans="1:9">
      <c r="A113" s="2295"/>
      <c r="B113" s="2298"/>
      <c r="C113" s="1067" t="s">
        <v>414</v>
      </c>
      <c r="D113" s="1156"/>
      <c r="E113" s="1156">
        <v>0</v>
      </c>
      <c r="F113" s="1156"/>
      <c r="G113" s="1390"/>
      <c r="H113" s="1157"/>
      <c r="I113" s="1158"/>
    </row>
    <row r="114" spans="1:9" ht="17.5" thickBot="1">
      <c r="A114" s="2296"/>
      <c r="B114" s="2283" t="s">
        <v>376</v>
      </c>
      <c r="C114" s="2284"/>
      <c r="D114" s="1121"/>
      <c r="E114" s="1121"/>
      <c r="F114" s="1121"/>
      <c r="G114" s="1401"/>
      <c r="H114" s="1159"/>
      <c r="I114" s="1160"/>
    </row>
    <row r="115" spans="1:9">
      <c r="A115" s="2295" t="s">
        <v>497</v>
      </c>
      <c r="B115" s="2297" t="s">
        <v>495</v>
      </c>
      <c r="C115" s="1050" t="s">
        <v>498</v>
      </c>
      <c r="D115" s="1156"/>
      <c r="E115" s="1156">
        <v>0</v>
      </c>
      <c r="F115" s="1156"/>
      <c r="G115" s="1390"/>
      <c r="H115" s="1161"/>
      <c r="I115" s="1158"/>
    </row>
    <row r="116" spans="1:9">
      <c r="A116" s="2295"/>
      <c r="B116" s="2298"/>
      <c r="C116" s="1067" t="s">
        <v>499</v>
      </c>
      <c r="D116" s="1156"/>
      <c r="E116" s="1156">
        <v>0</v>
      </c>
      <c r="F116" s="1156"/>
      <c r="G116" s="1410"/>
      <c r="H116" s="1162"/>
      <c r="I116" s="1163"/>
    </row>
    <row r="117" spans="1:9" ht="17.5" thickBot="1">
      <c r="A117" s="2296"/>
      <c r="B117" s="2283" t="s">
        <v>376</v>
      </c>
      <c r="C117" s="2284"/>
      <c r="D117" s="1121"/>
      <c r="E117" s="1121"/>
      <c r="F117" s="1121"/>
      <c r="G117" s="1401"/>
      <c r="H117" s="1164"/>
      <c r="I117" s="1165"/>
    </row>
    <row r="118" spans="1:9" ht="17.5" thickBot="1">
      <c r="A118" s="1166" t="s">
        <v>500</v>
      </c>
      <c r="B118" s="1167" t="s">
        <v>501</v>
      </c>
      <c r="C118" s="1168" t="s">
        <v>502</v>
      </c>
      <c r="D118" s="1169"/>
      <c r="E118" s="1170">
        <v>105215131</v>
      </c>
      <c r="F118" s="1170"/>
      <c r="G118" s="1391">
        <f>F118-D118</f>
        <v>0</v>
      </c>
      <c r="H118" s="1140">
        <f>IF(ISERR(G118/D118),0,G118/D118)</f>
        <v>0</v>
      </c>
      <c r="I118" s="1070"/>
    </row>
    <row r="119" spans="1:9" ht="17.5" thickBot="1">
      <c r="A119" s="2277" t="s">
        <v>503</v>
      </c>
      <c r="B119" s="2278"/>
      <c r="C119" s="2279"/>
      <c r="D119" s="1088">
        <f>SUM(D72,D76,D106,D108,D111,D118,D117,D114)</f>
        <v>399174097</v>
      </c>
      <c r="E119" s="1088">
        <f>SUM(E72,E76,E106,E108,E111,E118,E117,E114)</f>
        <v>384884426</v>
      </c>
      <c r="F119" s="1088">
        <f t="shared" ref="F119" si="18">SUM(F72,F76,F106,F108,F111,F118,F117,F114)</f>
        <v>391574097</v>
      </c>
      <c r="G119" s="1403">
        <f>F119-D119</f>
        <v>-7600000</v>
      </c>
      <c r="H119" s="1089">
        <f>IF(ISERR(G119/D119),0,G119/D119)</f>
        <v>-1.9039311561341116E-2</v>
      </c>
      <c r="I119" s="1090"/>
    </row>
    <row r="122" spans="1:9">
      <c r="E122" s="1171">
        <f>E119-E49</f>
        <v>0</v>
      </c>
      <c r="I122" s="1172"/>
    </row>
    <row r="123" spans="1:9">
      <c r="I123" s="1172"/>
    </row>
    <row r="124" spans="1:9">
      <c r="I124" s="1172"/>
    </row>
    <row r="125" spans="1:9">
      <c r="I125" s="1172"/>
    </row>
    <row r="126" spans="1:9">
      <c r="I126" s="1172"/>
    </row>
    <row r="127" spans="1:9">
      <c r="I127" s="1172"/>
    </row>
    <row r="128" spans="1:9">
      <c r="I128" s="1172"/>
    </row>
    <row r="129" spans="9:9">
      <c r="I129" s="1172"/>
    </row>
    <row r="130" spans="9:9">
      <c r="I130" s="1172"/>
    </row>
    <row r="131" spans="9:9">
      <c r="I131" s="1172"/>
    </row>
    <row r="132" spans="9:9">
      <c r="I132" s="1172"/>
    </row>
    <row r="133" spans="9:9">
      <c r="I133" s="1172"/>
    </row>
    <row r="134" spans="9:9">
      <c r="I134" s="1172"/>
    </row>
    <row r="135" spans="9:9">
      <c r="I135" s="1172"/>
    </row>
    <row r="136" spans="9:9">
      <c r="I136" s="1172"/>
    </row>
  </sheetData>
  <mergeCells count="69">
    <mergeCell ref="A115:A117"/>
    <mergeCell ref="B115:B116"/>
    <mergeCell ref="B117:C117"/>
    <mergeCell ref="A119:C119"/>
    <mergeCell ref="A109:A111"/>
    <mergeCell ref="B109:B110"/>
    <mergeCell ref="B111:C111"/>
    <mergeCell ref="A112:A114"/>
    <mergeCell ref="B112:B113"/>
    <mergeCell ref="B114:C114"/>
    <mergeCell ref="A77:A106"/>
    <mergeCell ref="B77:B82"/>
    <mergeCell ref="B83:B105"/>
    <mergeCell ref="B106:C106"/>
    <mergeCell ref="A107:A108"/>
    <mergeCell ref="B108:C108"/>
    <mergeCell ref="B53:B59"/>
    <mergeCell ref="B60:B63"/>
    <mergeCell ref="B64:B71"/>
    <mergeCell ref="B72:C72"/>
    <mergeCell ref="A73:A76"/>
    <mergeCell ref="B73:B75"/>
    <mergeCell ref="B76:C76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A41:A45"/>
    <mergeCell ref="B41:B44"/>
    <mergeCell ref="B45:C45"/>
    <mergeCell ref="A46:A48"/>
    <mergeCell ref="B46:B47"/>
    <mergeCell ref="B48:C48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5" type="noConversion"/>
  <pageMargins left="0.23622047244094491" right="0.23622047244094491" top="0.15748031496062992" bottom="0.15748031496062992" header="0.31496062992125984" footer="0.31496062992125984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"/>
  <sheetViews>
    <sheetView topLeftCell="A49" zoomScaleNormal="100" workbookViewId="0">
      <selection activeCell="E120" sqref="E120"/>
    </sheetView>
  </sheetViews>
  <sheetFormatPr defaultColWidth="13.25" defaultRowHeight="15" customHeight="1"/>
  <cols>
    <col min="1" max="1" width="13.25" style="1216" customWidth="1"/>
    <col min="2" max="2" width="15.58203125" style="1216" customWidth="1"/>
    <col min="3" max="7" width="19.1640625" style="1216" customWidth="1"/>
    <col min="8" max="8" width="10" style="1216" customWidth="1"/>
    <col min="9" max="9" width="41.1640625" style="1216" customWidth="1"/>
    <col min="10" max="26" width="7.9140625" style="1216" customWidth="1"/>
    <col min="27" max="16384" width="13.25" style="1216"/>
  </cols>
  <sheetData>
    <row r="1" spans="1:9" ht="17.25" customHeight="1">
      <c r="A1" s="2303"/>
      <c r="B1" s="2304"/>
      <c r="C1" s="2304"/>
      <c r="D1" s="2304"/>
      <c r="E1" s="2304"/>
      <c r="F1" s="2304"/>
      <c r="G1" s="2304"/>
      <c r="H1" s="2304"/>
      <c r="I1" s="2304"/>
    </row>
    <row r="2" spans="1:9" ht="32.4" customHeight="1">
      <c r="A2" s="2305" t="s">
        <v>520</v>
      </c>
      <c r="B2" s="2304"/>
      <c r="C2" s="2304"/>
      <c r="D2" s="2304"/>
      <c r="E2" s="2304"/>
      <c r="F2" s="2304"/>
      <c r="G2" s="2304"/>
      <c r="H2" s="2304"/>
      <c r="I2" s="2304"/>
    </row>
    <row r="3" spans="1:9" ht="17.25" customHeight="1">
      <c r="A3" s="2306" t="s">
        <v>521</v>
      </c>
      <c r="B3" s="2307"/>
      <c r="C3" s="2307"/>
      <c r="D3" s="2307"/>
      <c r="E3" s="2307"/>
      <c r="F3" s="2307"/>
      <c r="G3" s="2307"/>
      <c r="H3" s="2307"/>
      <c r="I3" s="2307"/>
    </row>
    <row r="4" spans="1:9" ht="17.25" customHeight="1">
      <c r="A4" s="2307"/>
      <c r="B4" s="2307"/>
      <c r="C4" s="2307"/>
      <c r="D4" s="2307"/>
      <c r="E4" s="2307"/>
      <c r="F4" s="2307"/>
      <c r="G4" s="2307"/>
      <c r="H4" s="2307"/>
      <c r="I4" s="2307"/>
    </row>
    <row r="5" spans="1:9" ht="17.25" customHeight="1" thickBot="1">
      <c r="A5" s="1217" t="s">
        <v>522</v>
      </c>
      <c r="B5" s="1217"/>
      <c r="C5" s="1217"/>
      <c r="D5" s="1217"/>
      <c r="E5" s="1217"/>
      <c r="F5" s="1217"/>
      <c r="G5" s="1217"/>
      <c r="H5" s="1217"/>
      <c r="I5" s="1218" t="s">
        <v>523</v>
      </c>
    </row>
    <row r="6" spans="1:9" ht="17.25" customHeight="1">
      <c r="A6" s="2308" t="s">
        <v>82</v>
      </c>
      <c r="B6" s="2309"/>
      <c r="C6" s="2309"/>
      <c r="D6" s="2310" t="s">
        <v>137</v>
      </c>
      <c r="E6" s="2310" t="s">
        <v>524</v>
      </c>
      <c r="F6" s="2310" t="s">
        <v>39</v>
      </c>
      <c r="G6" s="2310" t="s">
        <v>525</v>
      </c>
      <c r="H6" s="2312" t="s">
        <v>186</v>
      </c>
      <c r="I6" s="2313" t="s">
        <v>146</v>
      </c>
    </row>
    <row r="7" spans="1:9" ht="17.25" customHeight="1" thickBot="1">
      <c r="A7" s="1219" t="s">
        <v>78</v>
      </c>
      <c r="B7" s="1220" t="s">
        <v>88</v>
      </c>
      <c r="C7" s="1220" t="s">
        <v>89</v>
      </c>
      <c r="D7" s="2311"/>
      <c r="E7" s="2311"/>
      <c r="F7" s="2311"/>
      <c r="G7" s="2311"/>
      <c r="H7" s="2311"/>
      <c r="I7" s="2314"/>
    </row>
    <row r="8" spans="1:9" ht="17.25" customHeight="1">
      <c r="A8" s="2315" t="s">
        <v>285</v>
      </c>
      <c r="B8" s="2318" t="s">
        <v>136</v>
      </c>
      <c r="C8" s="1221" t="s">
        <v>141</v>
      </c>
      <c r="D8" s="1222"/>
      <c r="E8" s="1223"/>
      <c r="F8" s="1222"/>
      <c r="G8" s="1224"/>
      <c r="H8" s="1225"/>
      <c r="I8" s="1226"/>
    </row>
    <row r="9" spans="1:9" ht="17.25" customHeight="1">
      <c r="A9" s="2316"/>
      <c r="B9" s="2319"/>
      <c r="C9" s="1227" t="s">
        <v>239</v>
      </c>
      <c r="D9" s="1228">
        <v>3437750</v>
      </c>
      <c r="E9" s="1229">
        <v>3437750</v>
      </c>
      <c r="F9" s="1228">
        <v>3437750</v>
      </c>
      <c r="G9" s="1230">
        <f>F9-D9</f>
        <v>0</v>
      </c>
      <c r="H9" s="1231">
        <f>G9/D9*100%</f>
        <v>0</v>
      </c>
      <c r="I9" s="1232"/>
    </row>
    <row r="10" spans="1:9" ht="17.25" customHeight="1">
      <c r="A10" s="2316"/>
      <c r="B10" s="2319"/>
      <c r="C10" s="1227" t="s">
        <v>187</v>
      </c>
      <c r="D10" s="1233"/>
      <c r="E10" s="1234"/>
      <c r="F10" s="1233"/>
      <c r="G10" s="1230"/>
      <c r="H10" s="1231"/>
      <c r="I10" s="1235"/>
    </row>
    <row r="11" spans="1:9" ht="17.25" customHeight="1">
      <c r="A11" s="2316"/>
      <c r="B11" s="2319"/>
      <c r="C11" s="1227" t="s">
        <v>208</v>
      </c>
      <c r="D11" s="1233"/>
      <c r="E11" s="1234"/>
      <c r="F11" s="1233"/>
      <c r="G11" s="1230"/>
      <c r="H11" s="1231"/>
      <c r="I11" s="1235"/>
    </row>
    <row r="12" spans="1:9" ht="17.25" customHeight="1" thickBot="1">
      <c r="A12" s="2316"/>
      <c r="B12" s="2319"/>
      <c r="C12" s="1236" t="s">
        <v>204</v>
      </c>
      <c r="D12" s="1237"/>
      <c r="E12" s="1238"/>
      <c r="F12" s="1237"/>
      <c r="G12" s="1239"/>
      <c r="H12" s="1240"/>
      <c r="I12" s="1241"/>
    </row>
    <row r="13" spans="1:9" ht="17.25" customHeight="1" thickBot="1">
      <c r="A13" s="2317"/>
      <c r="B13" s="2320" t="s">
        <v>526</v>
      </c>
      <c r="C13" s="2321"/>
      <c r="D13" s="1242">
        <f t="shared" ref="D13:F13" si="0">SUM(D8:D12)</f>
        <v>3437750</v>
      </c>
      <c r="E13" s="1243">
        <f t="shared" si="0"/>
        <v>3437750</v>
      </c>
      <c r="F13" s="1242">
        <f t="shared" si="0"/>
        <v>3437750</v>
      </c>
      <c r="G13" s="1244">
        <f>F13-D13</f>
        <v>0</v>
      </c>
      <c r="H13" s="1245">
        <f>G13/D13*100%</f>
        <v>0</v>
      </c>
      <c r="I13" s="1246"/>
    </row>
    <row r="14" spans="1:9" ht="17.25" customHeight="1">
      <c r="A14" s="2322" t="s">
        <v>164</v>
      </c>
      <c r="B14" s="2318" t="s">
        <v>164</v>
      </c>
      <c r="C14" s="1221" t="s">
        <v>106</v>
      </c>
      <c r="D14" s="1222"/>
      <c r="E14" s="1223"/>
      <c r="F14" s="1222"/>
      <c r="G14" s="1224"/>
      <c r="H14" s="1225"/>
      <c r="I14" s="1247"/>
    </row>
    <row r="15" spans="1:9" ht="17.25" customHeight="1">
      <c r="A15" s="2323"/>
      <c r="B15" s="2319"/>
      <c r="C15" s="1227" t="s">
        <v>111</v>
      </c>
      <c r="D15" s="1248"/>
      <c r="E15" s="1249"/>
      <c r="F15" s="1248"/>
      <c r="G15" s="1224"/>
      <c r="H15" s="1225"/>
      <c r="I15" s="1250"/>
    </row>
    <row r="16" spans="1:9" ht="17.25" customHeight="1">
      <c r="A16" s="2323"/>
      <c r="B16" s="2319"/>
      <c r="C16" s="1227" t="s">
        <v>117</v>
      </c>
      <c r="D16" s="1248"/>
      <c r="E16" s="1249"/>
      <c r="F16" s="1248"/>
      <c r="G16" s="1224"/>
      <c r="H16" s="1225"/>
      <c r="I16" s="1250"/>
    </row>
    <row r="17" spans="1:9" ht="17.25" customHeight="1">
      <c r="A17" s="2323"/>
      <c r="B17" s="2319"/>
      <c r="C17" s="1227" t="s">
        <v>112</v>
      </c>
      <c r="D17" s="1248"/>
      <c r="E17" s="1249"/>
      <c r="F17" s="1248"/>
      <c r="G17" s="1224"/>
      <c r="H17" s="1225"/>
      <c r="I17" s="1250"/>
    </row>
    <row r="18" spans="1:9" ht="17.25" customHeight="1">
      <c r="A18" s="2323"/>
      <c r="B18" s="2319"/>
      <c r="C18" s="1251" t="s">
        <v>190</v>
      </c>
      <c r="D18" s="1248"/>
      <c r="E18" s="1249"/>
      <c r="F18" s="1248"/>
      <c r="G18" s="1224"/>
      <c r="H18" s="1225"/>
      <c r="I18" s="1252"/>
    </row>
    <row r="19" spans="1:9" ht="17.25" customHeight="1">
      <c r="A19" s="2323"/>
      <c r="B19" s="2319"/>
      <c r="C19" s="1253" t="s">
        <v>214</v>
      </c>
      <c r="D19" s="1248"/>
      <c r="E19" s="1249"/>
      <c r="F19" s="1248"/>
      <c r="G19" s="1224"/>
      <c r="H19" s="1225"/>
      <c r="I19" s="1252"/>
    </row>
    <row r="20" spans="1:9" ht="17.25" customHeight="1">
      <c r="A20" s="2323"/>
      <c r="B20" s="2319"/>
      <c r="C20" s="1253" t="s">
        <v>183</v>
      </c>
      <c r="D20" s="1254"/>
      <c r="E20" s="1255"/>
      <c r="F20" s="1254"/>
      <c r="G20" s="1224"/>
      <c r="H20" s="1225"/>
      <c r="I20" s="1252"/>
    </row>
    <row r="21" spans="1:9" ht="17.25" customHeight="1" thickBot="1">
      <c r="A21" s="2323"/>
      <c r="B21" s="2319"/>
      <c r="C21" s="1256" t="s">
        <v>195</v>
      </c>
      <c r="D21" s="1257"/>
      <c r="E21" s="1258"/>
      <c r="F21" s="1257"/>
      <c r="G21" s="1259"/>
      <c r="H21" s="1260"/>
      <c r="I21" s="1261"/>
    </row>
    <row r="22" spans="1:9" ht="17.25" customHeight="1" thickBot="1">
      <c r="A22" s="2324"/>
      <c r="B22" s="2320" t="s">
        <v>526</v>
      </c>
      <c r="C22" s="2321"/>
      <c r="D22" s="1262"/>
      <c r="E22" s="1263"/>
      <c r="F22" s="1262"/>
      <c r="G22" s="1262"/>
      <c r="H22" s="1264"/>
      <c r="I22" s="1265"/>
    </row>
    <row r="23" spans="1:9" ht="17.25" customHeight="1">
      <c r="A23" s="2325" t="s">
        <v>197</v>
      </c>
      <c r="B23" s="2318" t="s">
        <v>197</v>
      </c>
      <c r="C23" s="1221" t="s">
        <v>211</v>
      </c>
      <c r="D23" s="1266"/>
      <c r="E23" s="1267"/>
      <c r="F23" s="1266"/>
      <c r="G23" s="1266"/>
      <c r="H23" s="1225"/>
      <c r="I23" s="1268"/>
    </row>
    <row r="24" spans="1:9" ht="17.25" customHeight="1">
      <c r="A24" s="2316"/>
      <c r="B24" s="2319"/>
      <c r="C24" s="1227" t="s">
        <v>166</v>
      </c>
      <c r="D24" s="1269"/>
      <c r="E24" s="1270"/>
      <c r="F24" s="1269"/>
      <c r="G24" s="1271"/>
      <c r="H24" s="1225"/>
      <c r="I24" s="1272"/>
    </row>
    <row r="25" spans="1:9" ht="17.25" customHeight="1">
      <c r="A25" s="2316"/>
      <c r="B25" s="2319"/>
      <c r="C25" s="1227" t="s">
        <v>163</v>
      </c>
      <c r="D25" s="1269"/>
      <c r="E25" s="1270"/>
      <c r="F25" s="1269"/>
      <c r="G25" s="1271"/>
      <c r="H25" s="1225"/>
      <c r="I25" s="1272"/>
    </row>
    <row r="26" spans="1:9" ht="17.25" customHeight="1" thickBot="1">
      <c r="A26" s="2316"/>
      <c r="B26" s="2319"/>
      <c r="C26" s="1236" t="s">
        <v>177</v>
      </c>
      <c r="D26" s="1273"/>
      <c r="E26" s="1274"/>
      <c r="F26" s="1273"/>
      <c r="G26" s="1259"/>
      <c r="H26" s="1260"/>
      <c r="I26" s="1275"/>
    </row>
    <row r="27" spans="1:9" ht="17.25" customHeight="1" thickBot="1">
      <c r="A27" s="2317"/>
      <c r="B27" s="2320" t="s">
        <v>526</v>
      </c>
      <c r="C27" s="2321"/>
      <c r="D27" s="1262"/>
      <c r="E27" s="1263"/>
      <c r="F27" s="1262"/>
      <c r="G27" s="1262"/>
      <c r="H27" s="1264"/>
      <c r="I27" s="1276"/>
    </row>
    <row r="28" spans="1:9" ht="17.25" customHeight="1">
      <c r="A28" s="2326" t="s">
        <v>229</v>
      </c>
      <c r="B28" s="2318" t="s">
        <v>229</v>
      </c>
      <c r="C28" s="1277" t="s">
        <v>162</v>
      </c>
      <c r="D28" s="1271"/>
      <c r="E28" s="1278"/>
      <c r="F28" s="1271"/>
      <c r="G28" s="1271"/>
      <c r="H28" s="1225"/>
      <c r="I28" s="1279"/>
    </row>
    <row r="29" spans="1:9" ht="17.25" customHeight="1" thickBot="1">
      <c r="A29" s="2316"/>
      <c r="B29" s="2319"/>
      <c r="C29" s="1280" t="s">
        <v>174</v>
      </c>
      <c r="D29" s="1257"/>
      <c r="E29" s="1258"/>
      <c r="F29" s="1257"/>
      <c r="G29" s="1259"/>
      <c r="H29" s="1260"/>
      <c r="I29" s="1261"/>
    </row>
    <row r="30" spans="1:9" ht="17.25" customHeight="1" thickBot="1">
      <c r="A30" s="2317"/>
      <c r="B30" s="2320" t="s">
        <v>526</v>
      </c>
      <c r="C30" s="2321"/>
      <c r="D30" s="1281"/>
      <c r="E30" s="1282"/>
      <c r="F30" s="1281"/>
      <c r="G30" s="1262"/>
      <c r="H30" s="1264"/>
      <c r="I30" s="1276"/>
    </row>
    <row r="31" spans="1:9" ht="17.25" customHeight="1">
      <c r="A31" s="2315" t="s">
        <v>241</v>
      </c>
      <c r="B31" s="2318" t="s">
        <v>241</v>
      </c>
      <c r="C31" s="1221" t="s">
        <v>130</v>
      </c>
      <c r="D31" s="1266">
        <v>62835220</v>
      </c>
      <c r="E31" s="1267">
        <v>62835220</v>
      </c>
      <c r="F31" s="1266">
        <v>62835220</v>
      </c>
      <c r="G31" s="1271">
        <f t="shared" ref="G31:G33" si="1">F31-D31</f>
        <v>0</v>
      </c>
      <c r="H31" s="1225">
        <f t="shared" ref="H31:H33" si="2">G31/D31*100%</f>
        <v>0</v>
      </c>
      <c r="I31" s="1283"/>
    </row>
    <row r="32" spans="1:9" ht="17.25" customHeight="1" thickBot="1">
      <c r="A32" s="2316"/>
      <c r="B32" s="2319"/>
      <c r="C32" s="1236" t="s">
        <v>182</v>
      </c>
      <c r="D32" s="1273">
        <v>5095870</v>
      </c>
      <c r="E32" s="1274">
        <v>5095870</v>
      </c>
      <c r="F32" s="1273">
        <v>5095870</v>
      </c>
      <c r="G32" s="1259">
        <f t="shared" si="1"/>
        <v>0</v>
      </c>
      <c r="H32" s="1260">
        <f t="shared" si="2"/>
        <v>0</v>
      </c>
      <c r="I32" s="1284"/>
    </row>
    <row r="33" spans="1:9" ht="17.25" customHeight="1" thickBot="1">
      <c r="A33" s="2317"/>
      <c r="B33" s="2320" t="s">
        <v>526</v>
      </c>
      <c r="C33" s="2321"/>
      <c r="D33" s="1285">
        <f t="shared" ref="D33:F33" si="3">SUM(D31:D32)</f>
        <v>67931090</v>
      </c>
      <c r="E33" s="1286">
        <f t="shared" si="3"/>
        <v>67931090</v>
      </c>
      <c r="F33" s="1285">
        <f t="shared" si="3"/>
        <v>67931090</v>
      </c>
      <c r="G33" s="1285">
        <f t="shared" si="1"/>
        <v>0</v>
      </c>
      <c r="H33" s="1287">
        <f t="shared" si="2"/>
        <v>0</v>
      </c>
      <c r="I33" s="1276"/>
    </row>
    <row r="34" spans="1:9" ht="17.25" customHeight="1">
      <c r="A34" s="1288"/>
      <c r="B34" s="2318" t="s">
        <v>69</v>
      </c>
      <c r="C34" s="1221" t="s">
        <v>203</v>
      </c>
      <c r="D34" s="1289"/>
      <c r="E34" s="1290"/>
      <c r="F34" s="1289"/>
      <c r="G34" s="1266"/>
      <c r="H34" s="1225"/>
      <c r="I34" s="1291"/>
    </row>
    <row r="35" spans="1:9" ht="17.25" customHeight="1">
      <c r="A35" s="1288"/>
      <c r="B35" s="2319"/>
      <c r="C35" s="1253" t="s">
        <v>128</v>
      </c>
      <c r="D35" s="1271"/>
      <c r="E35" s="1278"/>
      <c r="F35" s="1271"/>
      <c r="G35" s="1271"/>
      <c r="H35" s="1225"/>
      <c r="I35" s="1291"/>
    </row>
    <row r="36" spans="1:9" ht="17.25" customHeight="1" thickBot="1">
      <c r="A36" s="2327" t="s">
        <v>69</v>
      </c>
      <c r="B36" s="2319"/>
      <c r="C36" s="1292" t="s">
        <v>247</v>
      </c>
      <c r="D36" s="1273"/>
      <c r="E36" s="1274"/>
      <c r="F36" s="1273"/>
      <c r="G36" s="1259"/>
      <c r="H36" s="1260"/>
      <c r="I36" s="1293"/>
    </row>
    <row r="37" spans="1:9" ht="17.25" customHeight="1" thickBot="1">
      <c r="A37" s="2317"/>
      <c r="B37" s="2320" t="s">
        <v>526</v>
      </c>
      <c r="C37" s="2321"/>
      <c r="D37" s="1262"/>
      <c r="E37" s="1263"/>
      <c r="F37" s="1262"/>
      <c r="G37" s="1262"/>
      <c r="H37" s="1264"/>
      <c r="I37" s="1276"/>
    </row>
    <row r="38" spans="1:9" ht="17.25" customHeight="1">
      <c r="A38" s="2328" t="s">
        <v>74</v>
      </c>
      <c r="B38" s="2318" t="s">
        <v>74</v>
      </c>
      <c r="C38" s="1277" t="s">
        <v>159</v>
      </c>
      <c r="D38" s="1289">
        <v>65521102</v>
      </c>
      <c r="E38" s="1290">
        <v>65521102</v>
      </c>
      <c r="F38" s="1289">
        <v>65521102</v>
      </c>
      <c r="G38" s="1271">
        <f>F38-D38</f>
        <v>0</v>
      </c>
      <c r="H38" s="1225">
        <f>G38/D38*100%</f>
        <v>0</v>
      </c>
      <c r="I38" s="1294"/>
    </row>
    <row r="39" spans="1:9" ht="17.25" customHeight="1" thickBot="1">
      <c r="A39" s="2316"/>
      <c r="B39" s="2319"/>
      <c r="C39" s="1292" t="s">
        <v>101</v>
      </c>
      <c r="D39" s="1257"/>
      <c r="E39" s="1258"/>
      <c r="F39" s="1257"/>
      <c r="G39" s="1259"/>
      <c r="H39" s="1260"/>
      <c r="I39" s="1295"/>
    </row>
    <row r="40" spans="1:9" ht="17.25" customHeight="1" thickBot="1">
      <c r="A40" s="2317"/>
      <c r="B40" s="2320" t="s">
        <v>526</v>
      </c>
      <c r="C40" s="2321"/>
      <c r="D40" s="1285">
        <f t="shared" ref="D40:F40" si="4">SUM(D38:D39)</f>
        <v>65521102</v>
      </c>
      <c r="E40" s="1286">
        <f t="shared" si="4"/>
        <v>65521102</v>
      </c>
      <c r="F40" s="1285">
        <f t="shared" si="4"/>
        <v>65521102</v>
      </c>
      <c r="G40" s="1285">
        <f t="shared" ref="G40:G42" si="5">F40-D40</f>
        <v>0</v>
      </c>
      <c r="H40" s="1287">
        <f>G40/D40*100%</f>
        <v>0</v>
      </c>
      <c r="I40" s="1276"/>
    </row>
    <row r="41" spans="1:9" ht="17.25" customHeight="1">
      <c r="A41" s="2328" t="s">
        <v>61</v>
      </c>
      <c r="B41" s="2318" t="s">
        <v>61</v>
      </c>
      <c r="C41" s="1221" t="s">
        <v>250</v>
      </c>
      <c r="D41" s="1266"/>
      <c r="E41" s="1267"/>
      <c r="F41" s="1266"/>
      <c r="G41" s="1266">
        <f t="shared" si="5"/>
        <v>0</v>
      </c>
      <c r="H41" s="1296"/>
      <c r="I41" s="1297"/>
    </row>
    <row r="42" spans="1:9" ht="17.25" customHeight="1">
      <c r="A42" s="2316"/>
      <c r="B42" s="2319"/>
      <c r="C42" s="1227" t="s">
        <v>118</v>
      </c>
      <c r="D42" s="1271">
        <v>2520</v>
      </c>
      <c r="E42" s="1278">
        <v>2520</v>
      </c>
      <c r="F42" s="1271">
        <v>2520</v>
      </c>
      <c r="G42" s="1271">
        <f t="shared" si="5"/>
        <v>0</v>
      </c>
      <c r="H42" s="1225">
        <f>G42/D42*100%</f>
        <v>0</v>
      </c>
      <c r="I42" s="1297"/>
    </row>
    <row r="43" spans="1:9" ht="17.25" customHeight="1">
      <c r="A43" s="2316"/>
      <c r="B43" s="2319"/>
      <c r="C43" s="1227" t="s">
        <v>209</v>
      </c>
      <c r="D43" s="1269"/>
      <c r="E43" s="1270"/>
      <c r="F43" s="1269"/>
      <c r="G43" s="1271"/>
      <c r="H43" s="1225"/>
      <c r="I43" s="1298"/>
    </row>
    <row r="44" spans="1:9" ht="17.25" customHeight="1" thickBot="1">
      <c r="A44" s="2316"/>
      <c r="B44" s="2319"/>
      <c r="C44" s="1256" t="s">
        <v>171</v>
      </c>
      <c r="D44" s="1273">
        <v>95000</v>
      </c>
      <c r="E44" s="1274">
        <v>95000</v>
      </c>
      <c r="F44" s="1273">
        <v>95000</v>
      </c>
      <c r="G44" s="1259">
        <f t="shared" ref="G44:G45" si="6">F44-D44</f>
        <v>0</v>
      </c>
      <c r="H44" s="1260">
        <f t="shared" ref="H44:H45" si="7">G44/D44*100%</f>
        <v>0</v>
      </c>
      <c r="I44" s="1299"/>
    </row>
    <row r="45" spans="1:9" ht="17.25" customHeight="1" thickBot="1">
      <c r="A45" s="2317"/>
      <c r="B45" s="2320" t="s">
        <v>526</v>
      </c>
      <c r="C45" s="2321"/>
      <c r="D45" s="1285">
        <f t="shared" ref="D45:F45" si="8">SUM(D41:D44)</f>
        <v>97520</v>
      </c>
      <c r="E45" s="1286">
        <f t="shared" si="8"/>
        <v>97520</v>
      </c>
      <c r="F45" s="1285">
        <f t="shared" si="8"/>
        <v>97520</v>
      </c>
      <c r="G45" s="1285">
        <f t="shared" si="6"/>
        <v>0</v>
      </c>
      <c r="H45" s="1287">
        <f t="shared" si="7"/>
        <v>0</v>
      </c>
      <c r="I45" s="1276"/>
    </row>
    <row r="46" spans="1:9" ht="17.25" customHeight="1">
      <c r="A46" s="2326" t="s">
        <v>129</v>
      </c>
      <c r="B46" s="2318" t="s">
        <v>53</v>
      </c>
      <c r="C46" s="1221" t="s">
        <v>152</v>
      </c>
      <c r="D46" s="1271"/>
      <c r="E46" s="1278"/>
      <c r="F46" s="1271"/>
      <c r="G46" s="1300"/>
      <c r="H46" s="1225"/>
      <c r="I46" s="1291"/>
    </row>
    <row r="47" spans="1:9" ht="17.25" customHeight="1" thickBot="1">
      <c r="A47" s="2316"/>
      <c r="B47" s="2319"/>
      <c r="C47" s="1236" t="s">
        <v>139</v>
      </c>
      <c r="D47" s="1273"/>
      <c r="E47" s="1273"/>
      <c r="F47" s="1273"/>
      <c r="G47" s="1301"/>
      <c r="H47" s="1302"/>
      <c r="I47" s="1293"/>
    </row>
    <row r="48" spans="1:9" ht="17.25" customHeight="1" thickBot="1">
      <c r="A48" s="2316"/>
      <c r="B48" s="2320" t="s">
        <v>526</v>
      </c>
      <c r="C48" s="2321"/>
      <c r="D48" s="1262"/>
      <c r="E48" s="1262"/>
      <c r="F48" s="1262"/>
      <c r="G48" s="1262"/>
      <c r="H48" s="1287"/>
      <c r="I48" s="1276"/>
    </row>
    <row r="49" spans="1:9" ht="17.25" customHeight="1" thickBot="1">
      <c r="A49" s="2329" t="s">
        <v>76</v>
      </c>
      <c r="B49" s="2330"/>
      <c r="C49" s="2321"/>
      <c r="D49" s="1303">
        <f t="shared" ref="D49:F49" si="9">SUM(D13,D22,D27,D30,D33,D37,D40,D45,D48)</f>
        <v>136987462</v>
      </c>
      <c r="E49" s="1303">
        <f t="shared" si="9"/>
        <v>136987462</v>
      </c>
      <c r="F49" s="1303">
        <f t="shared" si="9"/>
        <v>136987462</v>
      </c>
      <c r="G49" s="1303">
        <f>F49-D49</f>
        <v>0</v>
      </c>
      <c r="H49" s="1304">
        <f>G49/D49*100%</f>
        <v>0</v>
      </c>
      <c r="I49" s="1305"/>
    </row>
    <row r="50" spans="1:9" ht="17.25" customHeight="1" thickBot="1">
      <c r="A50" s="1306" t="s">
        <v>527</v>
      </c>
      <c r="B50" s="1306"/>
      <c r="C50" s="1306"/>
      <c r="D50" s="1306"/>
      <c r="E50" s="1306"/>
      <c r="F50" s="1306"/>
      <c r="G50" s="1306"/>
      <c r="H50" s="1306"/>
      <c r="I50" s="1307" t="s">
        <v>528</v>
      </c>
    </row>
    <row r="51" spans="1:9" ht="17.25" customHeight="1">
      <c r="A51" s="2308" t="s">
        <v>82</v>
      </c>
      <c r="B51" s="2309"/>
      <c r="C51" s="2309"/>
      <c r="D51" s="2310" t="s">
        <v>283</v>
      </c>
      <c r="E51" s="2310" t="s">
        <v>524</v>
      </c>
      <c r="F51" s="2310" t="s">
        <v>39</v>
      </c>
      <c r="G51" s="2310" t="s">
        <v>525</v>
      </c>
      <c r="H51" s="2312" t="s">
        <v>186</v>
      </c>
      <c r="I51" s="2313" t="s">
        <v>146</v>
      </c>
    </row>
    <row r="52" spans="1:9" ht="18" customHeight="1" thickBot="1">
      <c r="A52" s="1219" t="s">
        <v>78</v>
      </c>
      <c r="B52" s="1220" t="s">
        <v>88</v>
      </c>
      <c r="C52" s="1220" t="s">
        <v>89</v>
      </c>
      <c r="D52" s="2311"/>
      <c r="E52" s="2311"/>
      <c r="F52" s="2311"/>
      <c r="G52" s="2311"/>
      <c r="H52" s="2319"/>
      <c r="I52" s="2314"/>
    </row>
    <row r="53" spans="1:9" ht="17.25" customHeight="1">
      <c r="A53" s="2331" t="s">
        <v>93</v>
      </c>
      <c r="B53" s="2318" t="s">
        <v>62</v>
      </c>
      <c r="C53" s="1308" t="s">
        <v>91</v>
      </c>
      <c r="D53" s="1309">
        <v>40986100</v>
      </c>
      <c r="E53" s="1309">
        <v>40986100</v>
      </c>
      <c r="F53" s="1309">
        <v>40986100</v>
      </c>
      <c r="G53" s="1310">
        <f t="shared" ref="G53:G54" si="10">F53-D53</f>
        <v>0</v>
      </c>
      <c r="H53" s="1311">
        <f t="shared" ref="H53:H54" si="11">G53/D53*100%</f>
        <v>0</v>
      </c>
      <c r="I53" s="1283"/>
    </row>
    <row r="54" spans="1:9" ht="17.25" customHeight="1">
      <c r="A54" s="2323"/>
      <c r="B54" s="2319"/>
      <c r="C54" s="1312" t="s">
        <v>67</v>
      </c>
      <c r="D54" s="1313">
        <v>13186530</v>
      </c>
      <c r="E54" s="1313">
        <v>13186530</v>
      </c>
      <c r="F54" s="1313">
        <v>13186530</v>
      </c>
      <c r="G54" s="1269">
        <f t="shared" si="10"/>
        <v>0</v>
      </c>
      <c r="H54" s="1314">
        <f t="shared" si="11"/>
        <v>0</v>
      </c>
      <c r="I54" s="1315"/>
    </row>
    <row r="55" spans="1:9" ht="17.25" customHeight="1">
      <c r="A55" s="2323"/>
      <c r="B55" s="2319"/>
      <c r="C55" s="1312" t="s">
        <v>212</v>
      </c>
      <c r="D55" s="1300"/>
      <c r="E55" s="1300"/>
      <c r="F55" s="1300"/>
      <c r="G55" s="1269"/>
      <c r="H55" s="1314"/>
      <c r="I55" s="1291"/>
    </row>
    <row r="56" spans="1:9" ht="17.25" customHeight="1">
      <c r="A56" s="2323"/>
      <c r="B56" s="2319"/>
      <c r="C56" s="1312" t="s">
        <v>98</v>
      </c>
      <c r="D56" s="1316">
        <v>4178050</v>
      </c>
      <c r="E56" s="1316">
        <v>4178050</v>
      </c>
      <c r="F56" s="1316">
        <v>4178050</v>
      </c>
      <c r="G56" s="1269">
        <f t="shared" ref="G56:G60" si="12">F56-D56</f>
        <v>0</v>
      </c>
      <c r="H56" s="1314">
        <f t="shared" ref="H56:H59" si="13">G56/D56*100%</f>
        <v>0</v>
      </c>
      <c r="I56" s="1317"/>
    </row>
    <row r="57" spans="1:9" ht="17.25" customHeight="1">
      <c r="A57" s="2323"/>
      <c r="B57" s="2319"/>
      <c r="C57" s="1312" t="s">
        <v>180</v>
      </c>
      <c r="D57" s="1316">
        <v>5912500</v>
      </c>
      <c r="E57" s="1316">
        <v>5912500</v>
      </c>
      <c r="F57" s="1316">
        <v>5912500</v>
      </c>
      <c r="G57" s="1269">
        <f t="shared" si="12"/>
        <v>0</v>
      </c>
      <c r="H57" s="1314">
        <f t="shared" si="13"/>
        <v>0</v>
      </c>
      <c r="I57" s="1317"/>
    </row>
    <row r="58" spans="1:9" ht="17.25" customHeight="1" thickBot="1">
      <c r="A58" s="2323"/>
      <c r="B58" s="2319"/>
      <c r="C58" s="1312" t="s">
        <v>176</v>
      </c>
      <c r="D58" s="1318">
        <v>71045600</v>
      </c>
      <c r="E58" s="1318">
        <v>71045600</v>
      </c>
      <c r="F58" s="1318">
        <v>71045600</v>
      </c>
      <c r="G58" s="1273">
        <f t="shared" si="12"/>
        <v>0</v>
      </c>
      <c r="H58" s="1319">
        <f t="shared" si="13"/>
        <v>0</v>
      </c>
      <c r="I58" s="1320"/>
    </row>
    <row r="59" spans="1:9" ht="17.25" customHeight="1" thickBot="1">
      <c r="A59" s="2323"/>
      <c r="B59" s="2311"/>
      <c r="C59" s="1321" t="s">
        <v>529</v>
      </c>
      <c r="D59" s="1322">
        <f t="shared" ref="D59:F59" si="14">SUM(D53:D58)</f>
        <v>135308780</v>
      </c>
      <c r="E59" s="1322">
        <f t="shared" si="14"/>
        <v>135308780</v>
      </c>
      <c r="F59" s="1322">
        <f t="shared" si="14"/>
        <v>135308780</v>
      </c>
      <c r="G59" s="1285">
        <f t="shared" si="12"/>
        <v>0</v>
      </c>
      <c r="H59" s="1323">
        <f t="shared" si="13"/>
        <v>0</v>
      </c>
      <c r="I59" s="1265"/>
    </row>
    <row r="60" spans="1:9" ht="17.25" customHeight="1">
      <c r="A60" s="2323"/>
      <c r="B60" s="2318" t="s">
        <v>193</v>
      </c>
      <c r="C60" s="1277" t="s">
        <v>148</v>
      </c>
      <c r="D60" s="1324"/>
      <c r="E60" s="1324"/>
      <c r="F60" s="1324"/>
      <c r="G60" s="1310">
        <f t="shared" si="12"/>
        <v>0</v>
      </c>
      <c r="H60" s="1311"/>
      <c r="I60" s="1325"/>
    </row>
    <row r="61" spans="1:9" ht="17.25" customHeight="1">
      <c r="A61" s="2323"/>
      <c r="B61" s="2319"/>
      <c r="C61" s="1326" t="s">
        <v>253</v>
      </c>
      <c r="D61" s="1269"/>
      <c r="E61" s="1269"/>
      <c r="F61" s="1269"/>
      <c r="G61" s="1269"/>
      <c r="H61" s="1314"/>
      <c r="I61" s="1317"/>
    </row>
    <row r="62" spans="1:9" ht="17.25" customHeight="1" thickBot="1">
      <c r="A62" s="2323"/>
      <c r="B62" s="2319"/>
      <c r="C62" s="1312" t="s">
        <v>83</v>
      </c>
      <c r="D62" s="1273"/>
      <c r="E62" s="1273"/>
      <c r="F62" s="1273"/>
      <c r="G62" s="1273">
        <f t="shared" ref="G62:G66" si="15">F62-D62</f>
        <v>0</v>
      </c>
      <c r="H62" s="1319"/>
      <c r="I62" s="1327"/>
    </row>
    <row r="63" spans="1:9" ht="17.25" customHeight="1" thickBot="1">
      <c r="A63" s="2323"/>
      <c r="B63" s="2311"/>
      <c r="C63" s="1321" t="s">
        <v>529</v>
      </c>
      <c r="D63" s="1322">
        <f t="shared" ref="D63:F63" si="16">SUM(D60:D62)</f>
        <v>0</v>
      </c>
      <c r="E63" s="1322">
        <f t="shared" si="16"/>
        <v>0</v>
      </c>
      <c r="F63" s="1322">
        <f t="shared" si="16"/>
        <v>0</v>
      </c>
      <c r="G63" s="1262">
        <f t="shared" si="15"/>
        <v>0</v>
      </c>
      <c r="H63" s="1323"/>
      <c r="I63" s="1265"/>
    </row>
    <row r="64" spans="1:9" ht="17.25" customHeight="1">
      <c r="A64" s="2323"/>
      <c r="B64" s="2318" t="s">
        <v>77</v>
      </c>
      <c r="C64" s="1308" t="s">
        <v>60</v>
      </c>
      <c r="D64" s="1229"/>
      <c r="E64" s="1229"/>
      <c r="F64" s="1229"/>
      <c r="G64" s="1310">
        <f t="shared" si="15"/>
        <v>0</v>
      </c>
      <c r="H64" s="1311"/>
      <c r="I64" s="1317"/>
    </row>
    <row r="65" spans="1:9" ht="17.25" customHeight="1">
      <c r="A65" s="2323"/>
      <c r="B65" s="2319"/>
      <c r="C65" s="1312" t="s">
        <v>97</v>
      </c>
      <c r="D65" s="1229">
        <v>200670</v>
      </c>
      <c r="E65" s="1229">
        <v>200670</v>
      </c>
      <c r="F65" s="1229">
        <v>200670</v>
      </c>
      <c r="G65" s="1269">
        <f t="shared" si="15"/>
        <v>0</v>
      </c>
      <c r="H65" s="1314">
        <f t="shared" ref="H65:H66" si="17">G65/D65*100%</f>
        <v>0</v>
      </c>
      <c r="I65" s="1317"/>
    </row>
    <row r="66" spans="1:9" ht="17.25" customHeight="1">
      <c r="A66" s="2323"/>
      <c r="B66" s="2319"/>
      <c r="C66" s="1312" t="s">
        <v>161</v>
      </c>
      <c r="D66" s="1229">
        <v>71870</v>
      </c>
      <c r="E66" s="1229">
        <v>71870</v>
      </c>
      <c r="F66" s="1229">
        <v>71870</v>
      </c>
      <c r="G66" s="1269">
        <f t="shared" si="15"/>
        <v>0</v>
      </c>
      <c r="H66" s="1314">
        <f t="shared" si="17"/>
        <v>0</v>
      </c>
      <c r="I66" s="1317"/>
    </row>
    <row r="67" spans="1:9" ht="17.25" customHeight="1">
      <c r="A67" s="2323"/>
      <c r="B67" s="2319"/>
      <c r="C67" s="1312" t="s">
        <v>168</v>
      </c>
      <c r="D67" s="1269"/>
      <c r="E67" s="1269"/>
      <c r="F67" s="1269"/>
      <c r="G67" s="1269"/>
      <c r="H67" s="1314"/>
      <c r="I67" s="1328"/>
    </row>
    <row r="68" spans="1:9" ht="17.25" customHeight="1">
      <c r="A68" s="2323"/>
      <c r="B68" s="2319"/>
      <c r="C68" s="1312" t="s">
        <v>68</v>
      </c>
      <c r="D68" s="1269">
        <v>614802</v>
      </c>
      <c r="E68" s="1269">
        <v>614802</v>
      </c>
      <c r="F68" s="1269">
        <v>614802</v>
      </c>
      <c r="G68" s="1269">
        <f t="shared" ref="G68:G109" si="18">F68-D68</f>
        <v>0</v>
      </c>
      <c r="H68" s="1314">
        <f>G68/D68*100%</f>
        <v>0</v>
      </c>
      <c r="I68" s="1327"/>
    </row>
    <row r="69" spans="1:9" ht="17.25" customHeight="1">
      <c r="A69" s="2323"/>
      <c r="B69" s="2319"/>
      <c r="C69" s="1329" t="s">
        <v>530</v>
      </c>
      <c r="D69" s="1269"/>
      <c r="E69" s="1269"/>
      <c r="F69" s="1269"/>
      <c r="G69" s="1269">
        <f t="shared" si="18"/>
        <v>0</v>
      </c>
      <c r="H69" s="1330"/>
      <c r="I69" s="1297"/>
    </row>
    <row r="70" spans="1:9" ht="17.25" customHeight="1" thickBot="1">
      <c r="A70" s="2323"/>
      <c r="B70" s="2319"/>
      <c r="C70" s="1292" t="s">
        <v>151</v>
      </c>
      <c r="D70" s="1273">
        <v>791340</v>
      </c>
      <c r="E70" s="1273">
        <v>791340</v>
      </c>
      <c r="F70" s="1273">
        <v>791340</v>
      </c>
      <c r="G70" s="1273">
        <f t="shared" si="18"/>
        <v>0</v>
      </c>
      <c r="H70" s="1319">
        <f t="shared" ref="H70:H72" si="19">G70/D70*100%</f>
        <v>0</v>
      </c>
      <c r="I70" s="1331"/>
    </row>
    <row r="71" spans="1:9" ht="17.25" customHeight="1" thickBot="1">
      <c r="A71" s="2323"/>
      <c r="B71" s="2311"/>
      <c r="C71" s="1321" t="s">
        <v>529</v>
      </c>
      <c r="D71" s="1332">
        <f t="shared" ref="D71:F71" si="20">SUM(D64:D70)</f>
        <v>1678682</v>
      </c>
      <c r="E71" s="1332">
        <f t="shared" si="20"/>
        <v>1678682</v>
      </c>
      <c r="F71" s="1332">
        <f t="shared" si="20"/>
        <v>1678682</v>
      </c>
      <c r="G71" s="1285">
        <f t="shared" si="18"/>
        <v>0</v>
      </c>
      <c r="H71" s="1323">
        <f t="shared" si="19"/>
        <v>0</v>
      </c>
      <c r="I71" s="1276"/>
    </row>
    <row r="72" spans="1:9" ht="17.25" customHeight="1" thickBot="1">
      <c r="A72" s="2324"/>
      <c r="B72" s="2332" t="s">
        <v>526</v>
      </c>
      <c r="C72" s="2321"/>
      <c r="D72" s="1332">
        <f t="shared" ref="D72:F72" si="21">SUM(D59,D63,D71)</f>
        <v>136987462</v>
      </c>
      <c r="E72" s="1332">
        <f t="shared" si="21"/>
        <v>136987462</v>
      </c>
      <c r="F72" s="1332">
        <f t="shared" si="21"/>
        <v>136987462</v>
      </c>
      <c r="G72" s="1285">
        <f t="shared" si="18"/>
        <v>0</v>
      </c>
      <c r="H72" s="1323">
        <f t="shared" si="19"/>
        <v>0</v>
      </c>
      <c r="I72" s="1265"/>
    </row>
    <row r="73" spans="1:9" ht="17.25" customHeight="1">
      <c r="A73" s="2326" t="s">
        <v>230</v>
      </c>
      <c r="B73" s="2318" t="s">
        <v>90</v>
      </c>
      <c r="C73" s="1277" t="s">
        <v>147</v>
      </c>
      <c r="D73" s="1270"/>
      <c r="E73" s="1270"/>
      <c r="F73" s="1270"/>
      <c r="G73" s="1271">
        <f t="shared" si="18"/>
        <v>0</v>
      </c>
      <c r="H73" s="1330"/>
      <c r="I73" s="1315"/>
    </row>
    <row r="74" spans="1:9" ht="17.25" customHeight="1">
      <c r="A74" s="2316"/>
      <c r="B74" s="2319"/>
      <c r="C74" s="1333" t="s">
        <v>90</v>
      </c>
      <c r="D74" s="1270"/>
      <c r="E74" s="1270"/>
      <c r="F74" s="1270"/>
      <c r="G74" s="1271">
        <f t="shared" si="18"/>
        <v>0</v>
      </c>
      <c r="H74" s="1334"/>
      <c r="I74" s="1335"/>
    </row>
    <row r="75" spans="1:9" ht="17.25" customHeight="1" thickBot="1">
      <c r="A75" s="2316"/>
      <c r="B75" s="2319"/>
      <c r="C75" s="1292" t="s">
        <v>99</v>
      </c>
      <c r="D75" s="1274"/>
      <c r="E75" s="1274"/>
      <c r="F75" s="1274"/>
      <c r="G75" s="1259">
        <f t="shared" si="18"/>
        <v>0</v>
      </c>
      <c r="H75" s="1336"/>
      <c r="I75" s="1327"/>
    </row>
    <row r="76" spans="1:9" ht="17.25" customHeight="1" thickBot="1">
      <c r="A76" s="2317"/>
      <c r="B76" s="2320" t="s">
        <v>526</v>
      </c>
      <c r="C76" s="2321"/>
      <c r="D76" s="1332">
        <f t="shared" ref="D76:F76" si="22">SUM(D73:D75)</f>
        <v>0</v>
      </c>
      <c r="E76" s="1332">
        <f t="shared" si="22"/>
        <v>0</v>
      </c>
      <c r="F76" s="1332">
        <f t="shared" si="22"/>
        <v>0</v>
      </c>
      <c r="G76" s="1285">
        <f t="shared" si="18"/>
        <v>0</v>
      </c>
      <c r="H76" s="1337"/>
      <c r="I76" s="1276"/>
    </row>
    <row r="77" spans="1:9" ht="17.25" customHeight="1">
      <c r="A77" s="2328" t="s">
        <v>95</v>
      </c>
      <c r="B77" s="2333" t="s">
        <v>77</v>
      </c>
      <c r="C77" s="1338" t="s">
        <v>73</v>
      </c>
      <c r="D77" s="1266"/>
      <c r="E77" s="1266"/>
      <c r="F77" s="1266"/>
      <c r="G77" s="1266">
        <f t="shared" si="18"/>
        <v>0</v>
      </c>
      <c r="H77" s="1311"/>
      <c r="I77" s="1268"/>
    </row>
    <row r="78" spans="1:9" ht="17.25" customHeight="1">
      <c r="A78" s="2316"/>
      <c r="B78" s="2319"/>
      <c r="C78" s="1339" t="s">
        <v>237</v>
      </c>
      <c r="D78" s="1271"/>
      <c r="E78" s="1271"/>
      <c r="F78" s="1271"/>
      <c r="G78" s="1269">
        <f t="shared" si="18"/>
        <v>0</v>
      </c>
      <c r="H78" s="1330"/>
      <c r="I78" s="1291"/>
    </row>
    <row r="79" spans="1:9" ht="17.25" customHeight="1">
      <c r="A79" s="2316"/>
      <c r="B79" s="2319"/>
      <c r="C79" s="1339" t="s">
        <v>87</v>
      </c>
      <c r="D79" s="1271"/>
      <c r="E79" s="1271"/>
      <c r="F79" s="1271"/>
      <c r="G79" s="1269">
        <f t="shared" si="18"/>
        <v>0</v>
      </c>
      <c r="H79" s="1330"/>
      <c r="I79" s="1291"/>
    </row>
    <row r="80" spans="1:9" ht="17.25" customHeight="1">
      <c r="A80" s="2316"/>
      <c r="B80" s="2319"/>
      <c r="C80" s="1340" t="s">
        <v>64</v>
      </c>
      <c r="D80" s="1269"/>
      <c r="E80" s="1269"/>
      <c r="F80" s="1269"/>
      <c r="G80" s="1269">
        <f t="shared" si="18"/>
        <v>0</v>
      </c>
      <c r="H80" s="1330"/>
      <c r="I80" s="1298"/>
    </row>
    <row r="81" spans="1:9" ht="17.25" customHeight="1" thickBot="1">
      <c r="A81" s="2316"/>
      <c r="B81" s="2319"/>
      <c r="C81" s="1341" t="s">
        <v>243</v>
      </c>
      <c r="D81" s="1273"/>
      <c r="E81" s="1273"/>
      <c r="F81" s="1273"/>
      <c r="G81" s="1273">
        <f t="shared" si="18"/>
        <v>0</v>
      </c>
      <c r="H81" s="1336"/>
      <c r="I81" s="1293"/>
    </row>
    <row r="82" spans="1:9" ht="17.25" customHeight="1" thickBot="1">
      <c r="A82" s="2316"/>
      <c r="B82" s="2311"/>
      <c r="C82" s="1321" t="s">
        <v>529</v>
      </c>
      <c r="D82" s="1262">
        <f t="shared" ref="D82:F82" si="23">SUM(D77:D81)</f>
        <v>0</v>
      </c>
      <c r="E82" s="1262">
        <f t="shared" si="23"/>
        <v>0</v>
      </c>
      <c r="F82" s="1262">
        <f t="shared" si="23"/>
        <v>0</v>
      </c>
      <c r="G82" s="1262">
        <f t="shared" si="18"/>
        <v>0</v>
      </c>
      <c r="H82" s="1342"/>
      <c r="I82" s="1276"/>
    </row>
    <row r="83" spans="1:9" ht="17.25" customHeight="1">
      <c r="A83" s="2316"/>
      <c r="B83" s="2334" t="s">
        <v>95</v>
      </c>
      <c r="C83" s="1333" t="s">
        <v>201</v>
      </c>
      <c r="D83" s="1271"/>
      <c r="E83" s="1271"/>
      <c r="F83" s="1271"/>
      <c r="G83" s="1271">
        <f t="shared" si="18"/>
        <v>0</v>
      </c>
      <c r="H83" s="1330"/>
      <c r="I83" s="1291"/>
    </row>
    <row r="84" spans="1:9" ht="17.25" customHeight="1">
      <c r="A84" s="2316"/>
      <c r="B84" s="2319"/>
      <c r="C84" s="1253" t="s">
        <v>132</v>
      </c>
      <c r="D84" s="1269"/>
      <c r="E84" s="1269"/>
      <c r="F84" s="1269"/>
      <c r="G84" s="1269">
        <f t="shared" si="18"/>
        <v>0</v>
      </c>
      <c r="H84" s="1330"/>
      <c r="I84" s="1298"/>
    </row>
    <row r="85" spans="1:9" ht="17.25" customHeight="1">
      <c r="A85" s="2316"/>
      <c r="B85" s="2319"/>
      <c r="C85" s="1253" t="s">
        <v>144</v>
      </c>
      <c r="D85" s="1269"/>
      <c r="E85" s="1269"/>
      <c r="F85" s="1269"/>
      <c r="G85" s="1269">
        <f t="shared" si="18"/>
        <v>0</v>
      </c>
      <c r="H85" s="1330"/>
      <c r="I85" s="1298"/>
    </row>
    <row r="86" spans="1:9" ht="17.25" customHeight="1">
      <c r="A86" s="2316"/>
      <c r="B86" s="2319"/>
      <c r="C86" s="1253" t="s">
        <v>107</v>
      </c>
      <c r="D86" s="1269"/>
      <c r="E86" s="1269"/>
      <c r="F86" s="1269"/>
      <c r="G86" s="1269">
        <f t="shared" si="18"/>
        <v>0</v>
      </c>
      <c r="H86" s="1330"/>
      <c r="I86" s="1298"/>
    </row>
    <row r="87" spans="1:9" ht="17.25" customHeight="1">
      <c r="A87" s="2316"/>
      <c r="B87" s="2319"/>
      <c r="C87" s="1253" t="s">
        <v>113</v>
      </c>
      <c r="D87" s="1269"/>
      <c r="E87" s="1269"/>
      <c r="F87" s="1269"/>
      <c r="G87" s="1269">
        <f t="shared" si="18"/>
        <v>0</v>
      </c>
      <c r="H87" s="1330"/>
      <c r="I87" s="1298"/>
    </row>
    <row r="88" spans="1:9" ht="17.25" customHeight="1">
      <c r="A88" s="2316"/>
      <c r="B88" s="2319"/>
      <c r="C88" s="1253" t="s">
        <v>109</v>
      </c>
      <c r="D88" s="1269"/>
      <c r="E88" s="1269"/>
      <c r="F88" s="1269"/>
      <c r="G88" s="1269">
        <f t="shared" si="18"/>
        <v>0</v>
      </c>
      <c r="H88" s="1330"/>
      <c r="I88" s="1298"/>
    </row>
    <row r="89" spans="1:9" ht="17.25" customHeight="1">
      <c r="A89" s="2316"/>
      <c r="B89" s="2319"/>
      <c r="C89" s="1253" t="s">
        <v>122</v>
      </c>
      <c r="D89" s="1269"/>
      <c r="E89" s="1269"/>
      <c r="F89" s="1269"/>
      <c r="G89" s="1269">
        <f t="shared" si="18"/>
        <v>0</v>
      </c>
      <c r="H89" s="1330"/>
      <c r="I89" s="1298"/>
    </row>
    <row r="90" spans="1:9" ht="17.25" customHeight="1">
      <c r="A90" s="2316"/>
      <c r="B90" s="2319"/>
      <c r="C90" s="1253" t="s">
        <v>135</v>
      </c>
      <c r="D90" s="1269"/>
      <c r="E90" s="1269"/>
      <c r="F90" s="1269"/>
      <c r="G90" s="1269">
        <f t="shared" si="18"/>
        <v>0</v>
      </c>
      <c r="H90" s="1330"/>
      <c r="I90" s="1298"/>
    </row>
    <row r="91" spans="1:9" ht="17.25" customHeight="1">
      <c r="A91" s="2316"/>
      <c r="B91" s="2319"/>
      <c r="C91" s="1253" t="s">
        <v>205</v>
      </c>
      <c r="D91" s="1269"/>
      <c r="E91" s="1269"/>
      <c r="F91" s="1269"/>
      <c r="G91" s="1269">
        <f t="shared" si="18"/>
        <v>0</v>
      </c>
      <c r="H91" s="1330"/>
      <c r="I91" s="1298"/>
    </row>
    <row r="92" spans="1:9" ht="17.25" customHeight="1">
      <c r="A92" s="2316"/>
      <c r="B92" s="2319"/>
      <c r="C92" s="1253" t="s">
        <v>227</v>
      </c>
      <c r="D92" s="1269"/>
      <c r="E92" s="1269"/>
      <c r="F92" s="1269"/>
      <c r="G92" s="1269">
        <f t="shared" si="18"/>
        <v>0</v>
      </c>
      <c r="H92" s="1330"/>
      <c r="I92" s="1298"/>
    </row>
    <row r="93" spans="1:9" ht="17.25" customHeight="1">
      <c r="A93" s="2316"/>
      <c r="B93" s="2319"/>
      <c r="C93" s="1253" t="s">
        <v>240</v>
      </c>
      <c r="D93" s="1269"/>
      <c r="E93" s="1269"/>
      <c r="F93" s="1269"/>
      <c r="G93" s="1269">
        <f t="shared" si="18"/>
        <v>0</v>
      </c>
      <c r="H93" s="1330"/>
      <c r="I93" s="1343"/>
    </row>
    <row r="94" spans="1:9" ht="17.25" customHeight="1">
      <c r="A94" s="2316"/>
      <c r="B94" s="2319"/>
      <c r="C94" s="1253" t="s">
        <v>245</v>
      </c>
      <c r="D94" s="1269"/>
      <c r="E94" s="1269"/>
      <c r="F94" s="1269"/>
      <c r="G94" s="1269">
        <f t="shared" si="18"/>
        <v>0</v>
      </c>
      <c r="H94" s="1330"/>
      <c r="I94" s="1298"/>
    </row>
    <row r="95" spans="1:9" ht="17.25" customHeight="1">
      <c r="A95" s="2316"/>
      <c r="B95" s="2319"/>
      <c r="C95" s="1253" t="s">
        <v>228</v>
      </c>
      <c r="D95" s="1269"/>
      <c r="E95" s="1269"/>
      <c r="F95" s="1269"/>
      <c r="G95" s="1269">
        <f t="shared" si="18"/>
        <v>0</v>
      </c>
      <c r="H95" s="1330"/>
      <c r="I95" s="1298"/>
    </row>
    <row r="96" spans="1:9" ht="17.25" customHeight="1">
      <c r="A96" s="2316"/>
      <c r="B96" s="2319"/>
      <c r="C96" s="1253" t="s">
        <v>125</v>
      </c>
      <c r="D96" s="1269"/>
      <c r="E96" s="1269"/>
      <c r="F96" s="1269"/>
      <c r="G96" s="1269">
        <f t="shared" si="18"/>
        <v>0</v>
      </c>
      <c r="H96" s="1330"/>
      <c r="I96" s="1298"/>
    </row>
    <row r="97" spans="1:9" ht="17.25" customHeight="1">
      <c r="A97" s="2316"/>
      <c r="B97" s="2319"/>
      <c r="C97" s="1253" t="s">
        <v>254</v>
      </c>
      <c r="D97" s="1269"/>
      <c r="E97" s="1269"/>
      <c r="F97" s="1269"/>
      <c r="G97" s="1269">
        <f t="shared" si="18"/>
        <v>0</v>
      </c>
      <c r="H97" s="1330"/>
      <c r="I97" s="1298"/>
    </row>
    <row r="98" spans="1:9" ht="17.25" customHeight="1">
      <c r="A98" s="2316"/>
      <c r="B98" s="2319"/>
      <c r="C98" s="1253" t="s">
        <v>127</v>
      </c>
      <c r="D98" s="1269"/>
      <c r="E98" s="1269"/>
      <c r="F98" s="1269"/>
      <c r="G98" s="1269">
        <f t="shared" si="18"/>
        <v>0</v>
      </c>
      <c r="H98" s="1330"/>
      <c r="I98" s="1298"/>
    </row>
    <row r="99" spans="1:9" ht="17.25" customHeight="1">
      <c r="A99" s="2316"/>
      <c r="B99" s="2319"/>
      <c r="C99" s="1253" t="s">
        <v>140</v>
      </c>
      <c r="D99" s="1269"/>
      <c r="E99" s="1269"/>
      <c r="F99" s="1269"/>
      <c r="G99" s="1269">
        <f t="shared" si="18"/>
        <v>0</v>
      </c>
      <c r="H99" s="1330"/>
      <c r="I99" s="1298"/>
    </row>
    <row r="100" spans="1:9" ht="17.25" customHeight="1">
      <c r="A100" s="2316"/>
      <c r="B100" s="2319"/>
      <c r="C100" s="1253" t="s">
        <v>215</v>
      </c>
      <c r="D100" s="1269"/>
      <c r="E100" s="1269"/>
      <c r="F100" s="1269"/>
      <c r="G100" s="1269">
        <f t="shared" si="18"/>
        <v>0</v>
      </c>
      <c r="H100" s="1330"/>
      <c r="I100" s="1298"/>
    </row>
    <row r="101" spans="1:9" ht="17.25" customHeight="1">
      <c r="A101" s="2316"/>
      <c r="B101" s="2319"/>
      <c r="C101" s="1253" t="s">
        <v>185</v>
      </c>
      <c r="D101" s="1269"/>
      <c r="E101" s="1269"/>
      <c r="F101" s="1269"/>
      <c r="G101" s="1269">
        <f t="shared" si="18"/>
        <v>0</v>
      </c>
      <c r="H101" s="1330"/>
      <c r="I101" s="1298"/>
    </row>
    <row r="102" spans="1:9" ht="17.25" customHeight="1">
      <c r="A102" s="2316"/>
      <c r="B102" s="2319"/>
      <c r="C102" s="1253" t="s">
        <v>134</v>
      </c>
      <c r="D102" s="1269"/>
      <c r="E102" s="1269"/>
      <c r="F102" s="1269"/>
      <c r="G102" s="1269">
        <f t="shared" si="18"/>
        <v>0</v>
      </c>
      <c r="H102" s="1330"/>
      <c r="I102" s="1298"/>
    </row>
    <row r="103" spans="1:9" ht="17.25" customHeight="1">
      <c r="A103" s="2316"/>
      <c r="B103" s="2319"/>
      <c r="C103" s="1253" t="s">
        <v>222</v>
      </c>
      <c r="D103" s="1269"/>
      <c r="E103" s="1269"/>
      <c r="F103" s="1269"/>
      <c r="G103" s="1269">
        <f t="shared" si="18"/>
        <v>0</v>
      </c>
      <c r="H103" s="1330"/>
      <c r="I103" s="1298"/>
    </row>
    <row r="104" spans="1:9" ht="17.25" customHeight="1" thickBot="1">
      <c r="A104" s="2316"/>
      <c r="B104" s="2319"/>
      <c r="C104" s="1292" t="s">
        <v>255</v>
      </c>
      <c r="D104" s="1273"/>
      <c r="E104" s="1273"/>
      <c r="F104" s="1273"/>
      <c r="G104" s="1273">
        <f t="shared" si="18"/>
        <v>0</v>
      </c>
      <c r="H104" s="1336"/>
      <c r="I104" s="1293"/>
    </row>
    <row r="105" spans="1:9" ht="17.25" customHeight="1" thickBot="1">
      <c r="A105" s="2316"/>
      <c r="B105" s="2311"/>
      <c r="C105" s="1321" t="s">
        <v>529</v>
      </c>
      <c r="D105" s="1285">
        <f t="shared" ref="D105:F105" si="24">SUM(D83:D104)</f>
        <v>0</v>
      </c>
      <c r="E105" s="1285">
        <f t="shared" si="24"/>
        <v>0</v>
      </c>
      <c r="F105" s="1285">
        <f t="shared" si="24"/>
        <v>0</v>
      </c>
      <c r="G105" s="1285">
        <f t="shared" si="18"/>
        <v>0</v>
      </c>
      <c r="H105" s="1323"/>
      <c r="I105" s="1276"/>
    </row>
    <row r="106" spans="1:9" ht="17.25" customHeight="1" thickBot="1">
      <c r="A106" s="2317"/>
      <c r="B106" s="2320" t="s">
        <v>526</v>
      </c>
      <c r="C106" s="2321"/>
      <c r="D106" s="1285">
        <f t="shared" ref="D106:F106" si="25">SUM(D82,D105)</f>
        <v>0</v>
      </c>
      <c r="E106" s="1285">
        <f t="shared" si="25"/>
        <v>0</v>
      </c>
      <c r="F106" s="1285">
        <f t="shared" si="25"/>
        <v>0</v>
      </c>
      <c r="G106" s="1285">
        <f t="shared" si="18"/>
        <v>0</v>
      </c>
      <c r="H106" s="1323"/>
      <c r="I106" s="1265"/>
    </row>
    <row r="107" spans="1:9" ht="17.25" customHeight="1" thickBot="1">
      <c r="A107" s="2328" t="s">
        <v>80</v>
      </c>
      <c r="B107" s="1344" t="s">
        <v>80</v>
      </c>
      <c r="C107" s="1308" t="s">
        <v>80</v>
      </c>
      <c r="D107" s="1310"/>
      <c r="E107" s="1310"/>
      <c r="F107" s="1310"/>
      <c r="G107" s="1259">
        <f t="shared" si="18"/>
        <v>0</v>
      </c>
      <c r="H107" s="1336"/>
      <c r="I107" s="1261"/>
    </row>
    <row r="108" spans="1:9" ht="17.25" customHeight="1" thickBot="1">
      <c r="A108" s="2317"/>
      <c r="B108" s="2320" t="s">
        <v>526</v>
      </c>
      <c r="C108" s="2321"/>
      <c r="D108" s="1345">
        <f t="shared" ref="D108:F108" si="26">D107</f>
        <v>0</v>
      </c>
      <c r="E108" s="1345">
        <f t="shared" si="26"/>
        <v>0</v>
      </c>
      <c r="F108" s="1345">
        <f t="shared" si="26"/>
        <v>0</v>
      </c>
      <c r="G108" s="1262">
        <f t="shared" si="18"/>
        <v>0</v>
      </c>
      <c r="H108" s="1346"/>
      <c r="I108" s="1276"/>
    </row>
    <row r="109" spans="1:9" ht="17.25" customHeight="1">
      <c r="A109" s="1347" t="s">
        <v>131</v>
      </c>
      <c r="B109" s="2318" t="s">
        <v>131</v>
      </c>
      <c r="C109" s="1277" t="s">
        <v>79</v>
      </c>
      <c r="D109" s="1269"/>
      <c r="E109" s="1269"/>
      <c r="F109" s="1269"/>
      <c r="G109" s="1266">
        <f t="shared" si="18"/>
        <v>0</v>
      </c>
      <c r="H109" s="1330"/>
      <c r="I109" s="1348"/>
    </row>
    <row r="110" spans="1:9" ht="17.25" customHeight="1" thickBot="1">
      <c r="A110" s="1349"/>
      <c r="B110" s="2319"/>
      <c r="C110" s="1292" t="s">
        <v>63</v>
      </c>
      <c r="D110" s="1273"/>
      <c r="E110" s="1273"/>
      <c r="F110" s="1273"/>
      <c r="G110" s="1259"/>
      <c r="H110" s="1336"/>
      <c r="I110" s="1261"/>
    </row>
    <row r="111" spans="1:9" ht="17.25" customHeight="1" thickBot="1">
      <c r="A111" s="1350"/>
      <c r="B111" s="2320" t="s">
        <v>531</v>
      </c>
      <c r="C111" s="2321"/>
      <c r="D111" s="1285">
        <f t="shared" ref="D111:G111" si="27">D109+D110</f>
        <v>0</v>
      </c>
      <c r="E111" s="1285">
        <f t="shared" si="27"/>
        <v>0</v>
      </c>
      <c r="F111" s="1285">
        <f t="shared" si="27"/>
        <v>0</v>
      </c>
      <c r="G111" s="1285">
        <f t="shared" si="27"/>
        <v>0</v>
      </c>
      <c r="H111" s="1342"/>
      <c r="I111" s="1276"/>
    </row>
    <row r="112" spans="1:9" ht="17.25" customHeight="1">
      <c r="A112" s="2335" t="s">
        <v>129</v>
      </c>
      <c r="B112" s="2336" t="s">
        <v>56</v>
      </c>
      <c r="C112" s="1277" t="s">
        <v>152</v>
      </c>
      <c r="D112" s="1351"/>
      <c r="E112" s="1351"/>
      <c r="F112" s="1351"/>
      <c r="G112" s="1352"/>
      <c r="H112" s="1353"/>
      <c r="I112" s="1354"/>
    </row>
    <row r="113" spans="1:9" ht="17.25" customHeight="1" thickBot="1">
      <c r="A113" s="2316"/>
      <c r="B113" s="2319"/>
      <c r="C113" s="1292" t="s">
        <v>139</v>
      </c>
      <c r="D113" s="1355"/>
      <c r="E113" s="1355"/>
      <c r="F113" s="1355"/>
      <c r="G113" s="1301"/>
      <c r="H113" s="1356"/>
      <c r="I113" s="1293"/>
    </row>
    <row r="114" spans="1:9" ht="17.25" customHeight="1" thickBot="1">
      <c r="A114" s="2317"/>
      <c r="B114" s="2320" t="s">
        <v>531</v>
      </c>
      <c r="C114" s="2321"/>
      <c r="D114" s="1332"/>
      <c r="E114" s="1332"/>
      <c r="F114" s="1332"/>
      <c r="G114" s="1345"/>
      <c r="H114" s="1357"/>
      <c r="I114" s="1358"/>
    </row>
    <row r="115" spans="1:9" ht="17.25" customHeight="1">
      <c r="A115" s="2335" t="s">
        <v>288</v>
      </c>
      <c r="B115" s="2336" t="s">
        <v>56</v>
      </c>
      <c r="C115" s="1277" t="s">
        <v>142</v>
      </c>
      <c r="D115" s="1351"/>
      <c r="E115" s="1351"/>
      <c r="F115" s="1351"/>
      <c r="G115" s="1352"/>
      <c r="H115" s="1353"/>
      <c r="I115" s="1354"/>
    </row>
    <row r="116" spans="1:9" ht="17.25" customHeight="1" thickBot="1">
      <c r="A116" s="2316"/>
      <c r="B116" s="2319"/>
      <c r="C116" s="1292" t="s">
        <v>277</v>
      </c>
      <c r="D116" s="1355"/>
      <c r="E116" s="1355"/>
      <c r="F116" s="1355"/>
      <c r="G116" s="1301"/>
      <c r="H116" s="1356"/>
      <c r="I116" s="1359"/>
    </row>
    <row r="117" spans="1:9" ht="17.25" customHeight="1" thickBot="1">
      <c r="A117" s="2317"/>
      <c r="B117" s="2320" t="s">
        <v>531</v>
      </c>
      <c r="C117" s="2321"/>
      <c r="D117" s="1332"/>
      <c r="E117" s="1332"/>
      <c r="F117" s="1332"/>
      <c r="G117" s="1345"/>
      <c r="H117" s="1357"/>
      <c r="I117" s="1358"/>
    </row>
    <row r="118" spans="1:9" ht="17.25" customHeight="1" thickBot="1">
      <c r="A118" s="1360" t="s">
        <v>165</v>
      </c>
      <c r="B118" s="1361" t="s">
        <v>165</v>
      </c>
      <c r="C118" s="1362" t="s">
        <v>160</v>
      </c>
      <c r="D118" s="1262"/>
      <c r="E118" s="1262"/>
      <c r="F118" s="1262"/>
      <c r="G118" s="1259"/>
      <c r="H118" s="1330"/>
      <c r="I118" s="1261"/>
    </row>
    <row r="119" spans="1:9" ht="17.25" customHeight="1" thickBot="1">
      <c r="A119" s="2329" t="s">
        <v>532</v>
      </c>
      <c r="B119" s="2330"/>
      <c r="C119" s="2321"/>
      <c r="D119" s="1303">
        <f t="shared" ref="D119:F119" si="28">SUM(D72,D76,D106,D108,D118,D111,D114,D117)</f>
        <v>136987462</v>
      </c>
      <c r="E119" s="1303">
        <f t="shared" si="28"/>
        <v>136987462</v>
      </c>
      <c r="F119" s="1303">
        <f t="shared" si="28"/>
        <v>136987462</v>
      </c>
      <c r="G119" s="1303">
        <f>F119-D119</f>
        <v>0</v>
      </c>
      <c r="H119" s="1304">
        <f>G119/D119*100%</f>
        <v>0</v>
      </c>
      <c r="I119" s="1363"/>
    </row>
    <row r="120" spans="1:9" ht="17.25" customHeight="1">
      <c r="D120" s="1364"/>
      <c r="E120" s="1364"/>
      <c r="F120" s="1364"/>
    </row>
    <row r="121" spans="1:9" ht="17.25" customHeight="1"/>
    <row r="122" spans="1:9" ht="17.25" customHeight="1"/>
    <row r="123" spans="1:9" ht="17.25" customHeight="1"/>
    <row r="124" spans="1:9" ht="17.25" customHeight="1"/>
    <row r="125" spans="1:9" ht="17.25" customHeight="1"/>
    <row r="126" spans="1:9" ht="17.25" customHeight="1"/>
    <row r="127" spans="1:9" ht="17.25" customHeight="1"/>
    <row r="128" spans="1:9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</sheetData>
  <mergeCells count="68">
    <mergeCell ref="A115:A117"/>
    <mergeCell ref="B115:B116"/>
    <mergeCell ref="B117:C117"/>
    <mergeCell ref="A119:C119"/>
    <mergeCell ref="A107:A108"/>
    <mergeCell ref="B108:C108"/>
    <mergeCell ref="B109:B110"/>
    <mergeCell ref="B111:C111"/>
    <mergeCell ref="A112:A114"/>
    <mergeCell ref="B112:B113"/>
    <mergeCell ref="B114:C114"/>
    <mergeCell ref="A73:A76"/>
    <mergeCell ref="B73:B75"/>
    <mergeCell ref="B76:C76"/>
    <mergeCell ref="A77:A106"/>
    <mergeCell ref="B77:B82"/>
    <mergeCell ref="B83:B105"/>
    <mergeCell ref="B106:C106"/>
    <mergeCell ref="E51:E52"/>
    <mergeCell ref="F51:F52"/>
    <mergeCell ref="G51:G52"/>
    <mergeCell ref="H51:H52"/>
    <mergeCell ref="I51:I52"/>
    <mergeCell ref="A53:A72"/>
    <mergeCell ref="B53:B59"/>
    <mergeCell ref="B60:B63"/>
    <mergeCell ref="B64:B71"/>
    <mergeCell ref="B72:C72"/>
    <mergeCell ref="D51:D52"/>
    <mergeCell ref="A38:A40"/>
    <mergeCell ref="B38:B39"/>
    <mergeCell ref="B40:C40"/>
    <mergeCell ref="A41:A45"/>
    <mergeCell ref="B41:B44"/>
    <mergeCell ref="B45:C45"/>
    <mergeCell ref="A46:A48"/>
    <mergeCell ref="B46:B47"/>
    <mergeCell ref="B48:C48"/>
    <mergeCell ref="A49:C49"/>
    <mergeCell ref="A51:C51"/>
    <mergeCell ref="A31:A33"/>
    <mergeCell ref="B31:B32"/>
    <mergeCell ref="B33:C33"/>
    <mergeCell ref="B34:B36"/>
    <mergeCell ref="A36:A37"/>
    <mergeCell ref="B37:C37"/>
    <mergeCell ref="A23:A27"/>
    <mergeCell ref="B23:B26"/>
    <mergeCell ref="B27:C27"/>
    <mergeCell ref="A28:A30"/>
    <mergeCell ref="B28:B29"/>
    <mergeCell ref="B30:C30"/>
    <mergeCell ref="A8:A13"/>
    <mergeCell ref="B8:B12"/>
    <mergeCell ref="B13:C13"/>
    <mergeCell ref="A14:A22"/>
    <mergeCell ref="B14:B21"/>
    <mergeCell ref="B22:C22"/>
    <mergeCell ref="A1:I1"/>
    <mergeCell ref="A2:I2"/>
    <mergeCell ref="A3:I4"/>
    <mergeCell ref="A6:C6"/>
    <mergeCell ref="D6:D7"/>
    <mergeCell ref="E6:E7"/>
    <mergeCell ref="F6:F7"/>
    <mergeCell ref="G6:G7"/>
    <mergeCell ref="H6:H7"/>
    <mergeCell ref="I6:I7"/>
  </mergeCells>
  <phoneticPr fontId="25" type="noConversion"/>
  <pageMargins left="0.25" right="0.25" top="0.75" bottom="0.75" header="0.3" footer="0.3"/>
  <pageSetup paperSize="9" scale="74" fitToHeight="0" orientation="landscape" r:id="rId1"/>
  <rowBreaks count="2" manualBreakCount="2">
    <brk id="49" max="16383" man="1"/>
    <brk id="10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zoomScaleNormal="100" zoomScaleSheetLayoutView="75" workbookViewId="0"/>
  </sheetViews>
  <sheetFormatPr defaultColWidth="8.58203125" defaultRowHeight="17"/>
  <sheetData/>
  <phoneticPr fontId="25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4"/>
  <sheetViews>
    <sheetView topLeftCell="B101" zoomScale="70" zoomScaleNormal="70" zoomScaleSheetLayoutView="75" workbookViewId="0">
      <selection activeCell="F166" sqref="F166"/>
    </sheetView>
  </sheetViews>
  <sheetFormatPr defaultColWidth="8.58203125" defaultRowHeight="17"/>
  <cols>
    <col min="1" max="1" width="4.25" style="1" customWidth="1"/>
    <col min="2" max="2" width="14.33203125" style="1" customWidth="1"/>
    <col min="3" max="3" width="13.58203125" style="6" customWidth="1"/>
    <col min="4" max="4" width="34.1640625" style="6" bestFit="1" customWidth="1"/>
    <col min="5" max="5" width="19.25" style="1" customWidth="1"/>
    <col min="6" max="6" width="20.58203125" style="1" customWidth="1"/>
    <col min="7" max="7" width="21.25" style="1" customWidth="1"/>
    <col min="8" max="8" width="19.83203125" style="1637" customWidth="1"/>
    <col min="9" max="9" width="11.5" style="1" customWidth="1"/>
    <col min="10" max="10" width="50.83203125" style="1" bestFit="1" customWidth="1"/>
  </cols>
  <sheetData>
    <row r="1" spans="1:10">
      <c r="A1" s="1889"/>
      <c r="B1" s="1889"/>
      <c r="C1" s="1889"/>
      <c r="D1" s="1889"/>
      <c r="E1" s="1889"/>
      <c r="F1" s="1889"/>
      <c r="G1" s="1889"/>
      <c r="H1" s="1889"/>
      <c r="I1" s="1889"/>
      <c r="J1" s="1889"/>
    </row>
    <row r="2" spans="1:10" ht="30">
      <c r="A2" s="1890" t="s">
        <v>284</v>
      </c>
      <c r="B2" s="1890"/>
      <c r="C2" s="1890"/>
      <c r="D2" s="1890"/>
      <c r="E2" s="1890"/>
      <c r="F2" s="1890"/>
      <c r="G2" s="1890"/>
      <c r="H2" s="1890"/>
      <c r="I2" s="1890"/>
      <c r="J2" s="1890"/>
    </row>
    <row r="3" spans="1:10" ht="38.25" customHeight="1">
      <c r="A3" s="1891" t="s">
        <v>52</v>
      </c>
      <c r="B3" s="1891"/>
      <c r="C3" s="1891"/>
      <c r="D3" s="1891"/>
      <c r="E3" s="1891"/>
      <c r="F3" s="1891"/>
      <c r="G3" s="1891"/>
      <c r="H3" s="1891"/>
      <c r="I3" s="1891"/>
      <c r="J3" s="1891"/>
    </row>
    <row r="4" spans="1:10" ht="20.25" customHeight="1">
      <c r="A4" s="1892" t="s">
        <v>537</v>
      </c>
      <c r="B4" s="1892"/>
      <c r="C4" s="1892"/>
      <c r="D4" s="1892"/>
      <c r="E4" s="1892"/>
      <c r="F4" s="1892"/>
      <c r="G4" s="1892"/>
      <c r="H4" s="1892"/>
      <c r="I4" s="1892"/>
      <c r="J4" s="1892"/>
    </row>
    <row r="5" spans="1:10" ht="20.5">
      <c r="B5" s="1915" t="s">
        <v>0</v>
      </c>
      <c r="C5" s="1915"/>
      <c r="D5" s="1915"/>
      <c r="E5" s="1915"/>
      <c r="F5" s="1915"/>
      <c r="G5" s="1915"/>
      <c r="H5" s="1915"/>
      <c r="I5" s="1915"/>
      <c r="J5" s="1915"/>
    </row>
    <row r="6" spans="1:10" ht="17.5">
      <c r="A6" s="1771" t="s">
        <v>66</v>
      </c>
      <c r="B6" s="1916" t="s">
        <v>156</v>
      </c>
      <c r="C6" s="1917"/>
      <c r="D6" s="1917"/>
      <c r="E6" s="1799" t="s">
        <v>283</v>
      </c>
      <c r="F6" s="1799" t="s">
        <v>49</v>
      </c>
      <c r="G6" s="1799" t="s">
        <v>39</v>
      </c>
      <c r="H6" s="1801" t="s">
        <v>108</v>
      </c>
      <c r="I6" s="1858" t="s">
        <v>186</v>
      </c>
      <c r="J6" s="1858" t="s">
        <v>146</v>
      </c>
    </row>
    <row r="7" spans="1:10" ht="17.5">
      <c r="A7" s="1772"/>
      <c r="B7" s="230" t="s">
        <v>78</v>
      </c>
      <c r="C7" s="73" t="s">
        <v>88</v>
      </c>
      <c r="D7" s="73" t="s">
        <v>89</v>
      </c>
      <c r="E7" s="1800"/>
      <c r="F7" s="1800"/>
      <c r="G7" s="1800"/>
      <c r="H7" s="1802"/>
      <c r="I7" s="1859"/>
      <c r="J7" s="1859"/>
    </row>
    <row r="8" spans="1:10">
      <c r="A8" s="1876" t="s">
        <v>116</v>
      </c>
      <c r="B8" s="1963" t="s">
        <v>221</v>
      </c>
      <c r="C8" s="319" t="s">
        <v>226</v>
      </c>
      <c r="D8" s="320" t="s">
        <v>145</v>
      </c>
      <c r="E8" s="321">
        <f>'1. 본부사무국'!D8+'2.서울지부'!D8+'3.부산지부'!D8</f>
        <v>22629200</v>
      </c>
      <c r="F8" s="321">
        <f>'1. 본부사무국'!E8+'2.서울지부'!E8+'3.부산지부'!E8</f>
        <v>16160127</v>
      </c>
      <c r="G8" s="321">
        <f>'1. 본부사무국'!F8+'2.서울지부'!F8+'3.부산지부'!F8</f>
        <v>30809327</v>
      </c>
      <c r="H8" s="1697">
        <f>'1. 본부사무국'!G8+'2.서울지부'!G8+'3.부산지부'!G8</f>
        <v>8180127</v>
      </c>
      <c r="I8" s="303">
        <f>H8/E8*100%</f>
        <v>0.36148547010057802</v>
      </c>
      <c r="J8" s="323"/>
    </row>
    <row r="9" spans="1:10">
      <c r="A9" s="1876"/>
      <c r="B9" s="1964"/>
      <c r="C9" s="1214"/>
      <c r="D9" s="1373"/>
      <c r="E9" s="136"/>
      <c r="F9" s="1374">
        <v>32800000</v>
      </c>
      <c r="G9" s="1374">
        <v>32800000</v>
      </c>
      <c r="H9" s="1698">
        <v>32800000</v>
      </c>
      <c r="I9" s="593"/>
      <c r="J9" s="1375"/>
    </row>
    <row r="10" spans="1:10" ht="17.5" thickBot="1">
      <c r="A10" s="1876"/>
      <c r="B10" s="1965"/>
      <c r="C10" s="1966" t="s">
        <v>71</v>
      </c>
      <c r="D10" s="1967"/>
      <c r="E10" s="424">
        <f>E8</f>
        <v>22629200</v>
      </c>
      <c r="F10" s="424">
        <f>SUM(F8:F9)</f>
        <v>48960127</v>
      </c>
      <c r="G10" s="443">
        <f>SUM(G8:G9)</f>
        <v>63609327</v>
      </c>
      <c r="H10" s="1669">
        <f>SUM(H8:H9)</f>
        <v>40980127</v>
      </c>
      <c r="I10" s="299">
        <f>H10/E10*100%</f>
        <v>1.8109401569653367</v>
      </c>
      <c r="J10" s="287"/>
    </row>
    <row r="11" spans="1:10" ht="23.25" customHeight="1">
      <c r="A11" s="1952"/>
      <c r="B11" s="1893" t="s">
        <v>251</v>
      </c>
      <c r="C11" s="322" t="s">
        <v>164</v>
      </c>
      <c r="D11" s="226" t="s">
        <v>102</v>
      </c>
      <c r="E11" s="300">
        <f>'1. 본부사무국'!D11</f>
        <v>90000000</v>
      </c>
      <c r="F11" s="321">
        <f>'1. 본부사무국'!E11</f>
        <v>0</v>
      </c>
      <c r="G11" s="321">
        <f>'1. 본부사무국'!F11</f>
        <v>0</v>
      </c>
      <c r="H11" s="1697">
        <f>'1. 본부사무국'!G11</f>
        <v>-90000000</v>
      </c>
      <c r="I11" s="303">
        <f>H11/E11*100%</f>
        <v>-1</v>
      </c>
      <c r="J11" s="324"/>
    </row>
    <row r="12" spans="1:10">
      <c r="A12" s="1952"/>
      <c r="B12" s="1894"/>
      <c r="C12" s="1895" t="s">
        <v>71</v>
      </c>
      <c r="D12" s="1895"/>
      <c r="E12" s="442">
        <f>E11</f>
        <v>90000000</v>
      </c>
      <c r="F12" s="442">
        <f t="shared" ref="F12:G12" si="0">F11</f>
        <v>0</v>
      </c>
      <c r="G12" s="442">
        <f t="shared" si="0"/>
        <v>0</v>
      </c>
      <c r="H12" s="1699">
        <f t="shared" ref="H12:H27" si="1">G12-E12</f>
        <v>-90000000</v>
      </c>
      <c r="I12" s="299">
        <f>H12/E12*100%</f>
        <v>-1</v>
      </c>
      <c r="J12" s="325"/>
    </row>
    <row r="13" spans="1:10">
      <c r="A13" s="1952"/>
      <c r="B13" s="1893" t="s">
        <v>229</v>
      </c>
      <c r="C13" s="1969" t="s">
        <v>244</v>
      </c>
      <c r="D13" s="226" t="s">
        <v>162</v>
      </c>
      <c r="E13" s="300">
        <f>'1. 본부사무국'!D13+'2.서울지부'!D12+'3.부산지부'!D12</f>
        <v>0</v>
      </c>
      <c r="F13" s="321">
        <f>'1. 본부사무국'!E13+'2.서울지부'!E12+'3.부산지부'!E12</f>
        <v>0</v>
      </c>
      <c r="G13" s="321">
        <f>'1. 본부사무국'!F13+'2.서울지부'!F12+'3.부산지부'!F12</f>
        <v>0</v>
      </c>
      <c r="H13" s="1697">
        <f>'1. 본부사무국'!G13+'2.서울지부'!G12+'3.부산지부'!G12</f>
        <v>0</v>
      </c>
      <c r="I13" s="303"/>
      <c r="J13" s="324"/>
    </row>
    <row r="14" spans="1:10">
      <c r="A14" s="1952"/>
      <c r="B14" s="1968"/>
      <c r="C14" s="1970"/>
      <c r="D14" s="223" t="s">
        <v>174</v>
      </c>
      <c r="E14" s="136">
        <f>'1. 본부사무국'!D14+'2.서울지부'!D13+'3.부산지부'!D13</f>
        <v>27779064</v>
      </c>
      <c r="F14" s="136">
        <f>'1. 본부사무국'!E14+'2.서울지부'!E13+'3.부산지부'!E13</f>
        <v>26015776</v>
      </c>
      <c r="G14" s="136">
        <f>'1. 본부사무국'!F14+'2.서울지부'!F13+'3.부산지부'!F13</f>
        <v>30779064</v>
      </c>
      <c r="H14" s="1700">
        <f>'1. 본부사무국'!G14+'2.서울지부'!G13+'3.부산지부'!G13</f>
        <v>3000000</v>
      </c>
      <c r="I14" s="298">
        <f t="shared" ref="I14:I19" si="2">H14/E14*100%</f>
        <v>0.10799499939954781</v>
      </c>
      <c r="J14" s="142"/>
    </row>
    <row r="15" spans="1:10" ht="17.5" thickBot="1">
      <c r="A15" s="1952"/>
      <c r="B15" s="1894"/>
      <c r="C15" s="1878" t="s">
        <v>71</v>
      </c>
      <c r="D15" s="1878"/>
      <c r="E15" s="442">
        <f>SUM(E13:E14)</f>
        <v>27779064</v>
      </c>
      <c r="F15" s="442">
        <f t="shared" ref="F15:G15" si="3">SUM(F13:F14)</f>
        <v>26015776</v>
      </c>
      <c r="G15" s="442">
        <f t="shared" si="3"/>
        <v>30779064</v>
      </c>
      <c r="H15" s="1676">
        <f t="shared" si="1"/>
        <v>3000000</v>
      </c>
      <c r="I15" s="533">
        <f t="shared" si="2"/>
        <v>0.10799499939954781</v>
      </c>
      <c r="J15" s="141"/>
    </row>
    <row r="16" spans="1:10">
      <c r="A16" s="1952"/>
      <c r="B16" s="1950"/>
      <c r="C16" s="969" t="s">
        <v>308</v>
      </c>
      <c r="D16" s="970" t="s">
        <v>309</v>
      </c>
      <c r="E16" s="531">
        <v>235200000</v>
      </c>
      <c r="F16" s="531">
        <v>0</v>
      </c>
      <c r="G16" s="531">
        <v>0</v>
      </c>
      <c r="H16" s="1701">
        <f t="shared" si="1"/>
        <v>-235200000</v>
      </c>
      <c r="I16" s="550">
        <f t="shared" si="2"/>
        <v>-1</v>
      </c>
      <c r="J16" s="534"/>
    </row>
    <row r="17" spans="1:10" ht="17.5" thickBot="1">
      <c r="A17" s="1952"/>
      <c r="B17" s="1951"/>
      <c r="C17" s="1878" t="s">
        <v>71</v>
      </c>
      <c r="D17" s="1878"/>
      <c r="E17" s="532">
        <f>E16</f>
        <v>235200000</v>
      </c>
      <c r="F17" s="532">
        <v>0</v>
      </c>
      <c r="G17" s="532">
        <v>0</v>
      </c>
      <c r="H17" s="1702">
        <f t="shared" si="1"/>
        <v>-235200000</v>
      </c>
      <c r="I17" s="567">
        <f t="shared" si="2"/>
        <v>-1</v>
      </c>
      <c r="J17" s="882"/>
    </row>
    <row r="18" spans="1:10">
      <c r="A18" s="1952"/>
      <c r="B18" s="1975" t="s">
        <v>69</v>
      </c>
      <c r="C18" s="1209" t="s">
        <v>69</v>
      </c>
      <c r="D18" s="1210" t="s">
        <v>517</v>
      </c>
      <c r="E18" s="139">
        <f>'1. 본부사무국'!D18+'2.서울지부'!D15+'3.부산지부'!D15</f>
        <v>6500000</v>
      </c>
      <c r="F18" s="1377">
        <f>'1. 본부사무국'!E18+'2.서울지부'!E15+'3.부산지부'!E15</f>
        <v>95272000</v>
      </c>
      <c r="G18" s="139">
        <f>'1. 본부사무국'!F18+'2.서울지부'!F15+'3.부산지부'!F15</f>
        <v>1195272000</v>
      </c>
      <c r="H18" s="1681">
        <f t="shared" si="1"/>
        <v>1188772000</v>
      </c>
      <c r="I18" s="317">
        <f t="shared" si="2"/>
        <v>182.88800000000001</v>
      </c>
      <c r="J18" s="1376"/>
    </row>
    <row r="19" spans="1:10" ht="17.5" thickBot="1">
      <c r="A19" s="1952"/>
      <c r="B19" s="1976"/>
      <c r="C19" s="1977" t="s">
        <v>71</v>
      </c>
      <c r="D19" s="1978"/>
      <c r="E19" s="532">
        <f>E18</f>
        <v>6500000</v>
      </c>
      <c r="F19" s="532">
        <f t="shared" ref="F19:G19" si="4">F18</f>
        <v>95272000</v>
      </c>
      <c r="G19" s="532">
        <f t="shared" si="4"/>
        <v>1195272000</v>
      </c>
      <c r="H19" s="1702">
        <f t="shared" si="1"/>
        <v>1188772000</v>
      </c>
      <c r="I19" s="567">
        <f t="shared" si="2"/>
        <v>182.88800000000001</v>
      </c>
      <c r="J19" s="529"/>
    </row>
    <row r="20" spans="1:10">
      <c r="A20" s="1952"/>
      <c r="B20" s="1963" t="s">
        <v>74</v>
      </c>
      <c r="C20" s="1972" t="s">
        <v>74</v>
      </c>
      <c r="D20" s="226" t="s">
        <v>159</v>
      </c>
      <c r="E20" s="137">
        <f>'1. 본부사무국'!D20+'2.서울지부'!D17+'3.부산지부'!D17</f>
        <v>10233259</v>
      </c>
      <c r="F20" s="137">
        <f>'1. 본부사무국'!E20+'2.서울지부'!E17+'3.부산지부'!E17</f>
        <v>9810290</v>
      </c>
      <c r="G20" s="137">
        <f>'1. 본부사무국'!F20+'2.서울지부'!F17+'3.부산지부'!F17</f>
        <v>9810290</v>
      </c>
      <c r="H20" s="1688">
        <f t="shared" si="1"/>
        <v>-422969</v>
      </c>
      <c r="I20" s="1381">
        <f>H20/E20*100%</f>
        <v>-4.1332775804853568E-2</v>
      </c>
      <c r="J20" s="295"/>
    </row>
    <row r="21" spans="1:10">
      <c r="A21" s="1952"/>
      <c r="B21" s="1964"/>
      <c r="C21" s="1973"/>
      <c r="D21" s="225" t="s">
        <v>101</v>
      </c>
      <c r="E21" s="138">
        <f>'1. 본부사무국'!D21+'2.서울지부'!D18+'3.부산지부'!D18</f>
        <v>2500844</v>
      </c>
      <c r="F21" s="138">
        <f>'1. 본부사무국'!E21+'2.서울지부'!E18+'3.부산지부'!E18</f>
        <v>2296924</v>
      </c>
      <c r="G21" s="138">
        <f>'1. 본부사무국'!F21+'2.서울지부'!F18+'3.부산지부'!F18</f>
        <v>2296924</v>
      </c>
      <c r="H21" s="1673">
        <f t="shared" si="1"/>
        <v>-203920</v>
      </c>
      <c r="I21" s="1382">
        <f>H21/E21*100%</f>
        <v>-8.1540471936674172E-2</v>
      </c>
      <c r="J21" s="296"/>
    </row>
    <row r="22" spans="1:10">
      <c r="A22" s="1952"/>
      <c r="B22" s="1971"/>
      <c r="C22" s="1958" t="s">
        <v>71</v>
      </c>
      <c r="D22" s="1974"/>
      <c r="E22" s="442">
        <f>SUM(E20:E21)</f>
        <v>12734103</v>
      </c>
      <c r="F22" s="442">
        <f t="shared" ref="F22:G22" si="5">SUM(F20:F21)</f>
        <v>12107214</v>
      </c>
      <c r="G22" s="442">
        <f t="shared" si="5"/>
        <v>12107214</v>
      </c>
      <c r="H22" s="1682">
        <f t="shared" si="1"/>
        <v>-626889</v>
      </c>
      <c r="I22" s="1383">
        <f>H22/E22*100%</f>
        <v>-4.9229144761904313E-2</v>
      </c>
      <c r="J22" s="141"/>
    </row>
    <row r="23" spans="1:10">
      <c r="A23" s="1952"/>
      <c r="B23" s="1954" t="s">
        <v>61</v>
      </c>
      <c r="C23" s="1956" t="s">
        <v>61</v>
      </c>
      <c r="D23" s="467" t="s">
        <v>118</v>
      </c>
      <c r="E23" s="139">
        <f>'1. 본부사무국'!D23+'2.서울지부'!D20+'3.부산지부'!D20</f>
        <v>9007030</v>
      </c>
      <c r="F23" s="139">
        <f>'1. 본부사무국'!E23+'2.서울지부'!E20+'3.부산지부'!E20</f>
        <v>5440183</v>
      </c>
      <c r="G23" s="139">
        <f>'1. 본부사무국'!F23+'2.서울지부'!F20+'3.부산지부'!F20</f>
        <v>8371841</v>
      </c>
      <c r="H23" s="1703">
        <f t="shared" si="1"/>
        <v>-635189</v>
      </c>
      <c r="I23" s="299">
        <f>H23/E23*100%</f>
        <v>-7.0521470451414062E-2</v>
      </c>
      <c r="J23" s="326"/>
    </row>
    <row r="24" spans="1:10">
      <c r="A24" s="1952"/>
      <c r="B24" s="1955"/>
      <c r="C24" s="1956"/>
      <c r="D24" s="468" t="s">
        <v>278</v>
      </c>
      <c r="E24" s="136">
        <f>'1. 본부사무국'!D24+'2.서울지부'!D21+'3.부산지부'!D21</f>
        <v>0</v>
      </c>
      <c r="F24" s="136">
        <f>'1. 본부사무국'!E24+'2.서울지부'!E21+'3.부산지부'!E21</f>
        <v>187</v>
      </c>
      <c r="G24" s="139">
        <f>'1. 본부사무국'!F24+'2.서울지부'!F21+'3.부산지부'!F21</f>
        <v>2529</v>
      </c>
      <c r="H24" s="1704">
        <f t="shared" si="1"/>
        <v>2529</v>
      </c>
      <c r="I24" s="298"/>
      <c r="J24" s="327"/>
    </row>
    <row r="25" spans="1:10">
      <c r="A25" s="1952"/>
      <c r="B25" s="1955"/>
      <c r="C25" s="1957"/>
      <c r="D25" s="468" t="s">
        <v>171</v>
      </c>
      <c r="E25" s="136">
        <f>'1. 본부사무국'!D25+'2.서울지부'!D22+'3.부산지부'!D22</f>
        <v>10486600</v>
      </c>
      <c r="F25" s="136">
        <f>'1. 본부사무국'!E25+'2.서울지부'!E22+'3.부산지부'!E22</f>
        <v>17403735</v>
      </c>
      <c r="G25" s="139">
        <f>'1. 본부사무국'!F25+'2.서울지부'!F22+'3.부산지부'!F22</f>
        <v>14746995</v>
      </c>
      <c r="H25" s="1704">
        <f t="shared" si="1"/>
        <v>4260395</v>
      </c>
      <c r="I25" s="298">
        <f t="shared" ref="I25:I26" si="6">H25/E25*100%</f>
        <v>0.40627038315564623</v>
      </c>
      <c r="J25" s="296"/>
    </row>
    <row r="26" spans="1:10">
      <c r="A26" s="1952"/>
      <c r="B26" s="1955"/>
      <c r="C26" s="1958" t="s">
        <v>71</v>
      </c>
      <c r="D26" s="1959"/>
      <c r="E26" s="431">
        <f>SUM(E23:E25)</f>
        <v>19493630</v>
      </c>
      <c r="F26" s="431">
        <f t="shared" ref="F26:G26" si="7">SUM(F23:F25)</f>
        <v>22844105</v>
      </c>
      <c r="G26" s="431">
        <f t="shared" si="7"/>
        <v>23121365</v>
      </c>
      <c r="H26" s="1705">
        <f t="shared" si="1"/>
        <v>3627735</v>
      </c>
      <c r="I26" s="304">
        <f t="shared" si="6"/>
        <v>0.18609848447928887</v>
      </c>
      <c r="J26" s="470"/>
    </row>
    <row r="27" spans="1:10">
      <c r="A27" s="1953"/>
      <c r="B27" s="1960" t="s">
        <v>76</v>
      </c>
      <c r="C27" s="1961"/>
      <c r="D27" s="1962"/>
      <c r="E27" s="472">
        <f>SUM(E10,E12,E15,E19,E22,E26,E17)</f>
        <v>414335997</v>
      </c>
      <c r="F27" s="472">
        <f>SUM(F10,F12,F15,F19,F22,F26)</f>
        <v>205199222</v>
      </c>
      <c r="G27" s="1213">
        <f>G10+G12+G15+G19+G22+G26</f>
        <v>1324888970</v>
      </c>
      <c r="H27" s="1706">
        <f t="shared" si="1"/>
        <v>910552973</v>
      </c>
      <c r="I27" s="471">
        <f>H27/E27*100%</f>
        <v>2.1976197568950302</v>
      </c>
      <c r="J27" s="71"/>
    </row>
    <row r="28" spans="1:10" ht="28.15" customHeight="1">
      <c r="B28" s="1918" t="s">
        <v>26</v>
      </c>
      <c r="C28" s="1918"/>
      <c r="D28" s="1918"/>
      <c r="E28" s="1918"/>
      <c r="F28" s="1918"/>
      <c r="G28" s="1918"/>
      <c r="H28" s="1918"/>
      <c r="I28" s="1918"/>
      <c r="J28" s="1918"/>
    </row>
    <row r="29" spans="1:10" ht="17.5" customHeight="1">
      <c r="A29" s="1771" t="s">
        <v>66</v>
      </c>
      <c r="B29" s="1841" t="s">
        <v>82</v>
      </c>
      <c r="C29" s="1842"/>
      <c r="D29" s="1842"/>
      <c r="E29" s="1799" t="s">
        <v>283</v>
      </c>
      <c r="F29" s="1799" t="s">
        <v>358</v>
      </c>
      <c r="G29" s="1799" t="s">
        <v>39</v>
      </c>
      <c r="H29" s="1801" t="s">
        <v>108</v>
      </c>
      <c r="I29" s="1803" t="s">
        <v>186</v>
      </c>
      <c r="J29" s="1805" t="s">
        <v>146</v>
      </c>
    </row>
    <row r="30" spans="1:10" ht="18" customHeight="1">
      <c r="A30" s="1938"/>
      <c r="B30" s="479" t="s">
        <v>78</v>
      </c>
      <c r="C30" s="480" t="s">
        <v>88</v>
      </c>
      <c r="D30" s="480" t="s">
        <v>89</v>
      </c>
      <c r="E30" s="1919"/>
      <c r="F30" s="1919"/>
      <c r="G30" s="1919"/>
      <c r="H30" s="1943"/>
      <c r="I30" s="1944"/>
      <c r="J30" s="1945"/>
    </row>
    <row r="31" spans="1:10" ht="33.65" customHeight="1">
      <c r="A31" s="1896" t="s">
        <v>123</v>
      </c>
      <c r="B31" s="1899" t="s">
        <v>285</v>
      </c>
      <c r="C31" s="412" t="s">
        <v>136</v>
      </c>
      <c r="D31" s="412" t="s">
        <v>136</v>
      </c>
      <c r="E31" s="482">
        <f>'4. 서울Y 봉천종합사회복지관'!D13+'5.은학의집(총괄)'!D13+'6.울산씨밀레'!D13+'7.강서구지역자활센터(장기요양사업)'!D13</f>
        <v>609034754</v>
      </c>
      <c r="F31" s="482">
        <f>'4. 서울Y 봉천종합사회복지관'!E13+'5.은학의집(총괄)'!E13+'6.울산씨밀레'!E13+'7.강서구지역자활센터(장기요양사업)'!E13</f>
        <v>268182760</v>
      </c>
      <c r="G31" s="482">
        <f>'4. 서울Y 봉천종합사회복지관'!F13+'5.은학의집(총괄)'!F13+'6.울산씨밀레'!F13+'7.강서구지역자활센터(장기요양사업)'!F13</f>
        <v>272086026</v>
      </c>
      <c r="H31" s="1707">
        <f>G31-E31</f>
        <v>-336948728</v>
      </c>
      <c r="I31" s="481">
        <f t="shared" ref="I31:I32" si="8">H31/E31*100%</f>
        <v>-0.55325041105946471</v>
      </c>
      <c r="J31" s="308"/>
    </row>
    <row r="32" spans="1:10" ht="18" customHeight="1">
      <c r="A32" s="1897"/>
      <c r="B32" s="1900"/>
      <c r="C32" s="1901" t="s">
        <v>71</v>
      </c>
      <c r="D32" s="1902"/>
      <c r="E32" s="252">
        <f>E31</f>
        <v>609034754</v>
      </c>
      <c r="F32" s="252">
        <f t="shared" ref="F32:G32" si="9">F31</f>
        <v>268182760</v>
      </c>
      <c r="G32" s="252">
        <f t="shared" si="9"/>
        <v>272086026</v>
      </c>
      <c r="H32" s="1708">
        <f>G32-E32</f>
        <v>-336948728</v>
      </c>
      <c r="I32" s="253">
        <f t="shared" si="8"/>
        <v>-0.55325041105946471</v>
      </c>
      <c r="J32" s="309"/>
    </row>
    <row r="33" spans="1:10" ht="16.5" customHeight="1">
      <c r="A33" s="1897"/>
      <c r="B33" s="1946" t="s">
        <v>164</v>
      </c>
      <c r="C33" s="180" t="s">
        <v>164</v>
      </c>
      <c r="D33" s="180" t="s">
        <v>164</v>
      </c>
      <c r="E33" s="76">
        <f>'4. 서울Y 봉천종합사회복지관'!D22+'5.은학의집(총괄)'!D22+'6.울산씨밀레'!D22</f>
        <v>301615000</v>
      </c>
      <c r="F33" s="76">
        <f>'4. 서울Y 봉천종합사회복지관'!E22+'5.은학의집(총괄)'!E22+'6.울산씨밀레'!E22</f>
        <v>230362950</v>
      </c>
      <c r="G33" s="76">
        <f>'4. 서울Y 봉천종합사회복지관'!F22+'5.은학의집(총괄)'!F22+'6.울산씨밀레'!F22</f>
        <v>316588000</v>
      </c>
      <c r="H33" s="1709">
        <f>G33-E33</f>
        <v>14973000</v>
      </c>
      <c r="I33" s="151">
        <f>H33/E33*100%</f>
        <v>4.9642756494206193E-2</v>
      </c>
      <c r="J33" s="46"/>
    </row>
    <row r="34" spans="1:10" ht="18" customHeight="1">
      <c r="A34" s="1897"/>
      <c r="B34" s="1947"/>
      <c r="C34" s="1948" t="s">
        <v>71</v>
      </c>
      <c r="D34" s="1949"/>
      <c r="E34" s="610">
        <f>E33</f>
        <v>301615000</v>
      </c>
      <c r="F34" s="554">
        <f t="shared" ref="F34:G34" si="10">F33</f>
        <v>230362950</v>
      </c>
      <c r="G34" s="554">
        <f t="shared" si="10"/>
        <v>316588000</v>
      </c>
      <c r="H34" s="1710">
        <f t="shared" ref="H34:H61" si="11">G34-E34</f>
        <v>14973000</v>
      </c>
      <c r="I34" s="643">
        <f>H34/E34*100%</f>
        <v>4.9642756494206193E-2</v>
      </c>
      <c r="J34" s="50"/>
    </row>
    <row r="35" spans="1:10" ht="17.5" customHeight="1">
      <c r="A35" s="1897"/>
      <c r="B35" s="1908" t="s">
        <v>197</v>
      </c>
      <c r="C35" s="1835" t="s">
        <v>197</v>
      </c>
      <c r="D35" s="176" t="s">
        <v>211</v>
      </c>
      <c r="E35" s="244">
        <f>'4. 서울Y 봉천종합사회복지관'!D23+'5.은학의집(총괄)'!D23+'6.울산씨밀레'!D23</f>
        <v>345791000</v>
      </c>
      <c r="F35" s="244">
        <f>'4. 서울Y 봉천종합사회복지관'!E23+'5.은학의집(총괄)'!E23+'6.울산씨밀레'!E23</f>
        <v>336408200</v>
      </c>
      <c r="G35" s="244">
        <f>'4. 서울Y 봉천종합사회복지관'!F23+'5.은학의집(총괄)'!F23+'6.울산씨밀레'!F23</f>
        <v>342691000</v>
      </c>
      <c r="H35" s="1711">
        <f t="shared" si="11"/>
        <v>-3100000</v>
      </c>
      <c r="I35" s="668">
        <f>H35/E35*100%</f>
        <v>-8.9649528183208937E-3</v>
      </c>
      <c r="J35" s="87"/>
    </row>
    <row r="36" spans="1:10" ht="17.5" customHeight="1">
      <c r="A36" s="1897"/>
      <c r="B36" s="1909"/>
      <c r="C36" s="1836"/>
      <c r="D36" s="187" t="s">
        <v>166</v>
      </c>
      <c r="E36" s="244">
        <f>'4. 서울Y 봉천종합사회복지관'!D24+'5.은학의집(총괄)'!D24+'6.울산씨밀레'!D24</f>
        <v>1148399000</v>
      </c>
      <c r="F36" s="244">
        <f>'4. 서울Y 봉천종합사회복지관'!E24+'5.은학의집(총괄)'!E24+'6.울산씨밀레'!E24</f>
        <v>1102651380</v>
      </c>
      <c r="G36" s="244">
        <f>'4. 서울Y 봉천종합사회복지관'!F24+'5.은학의집(총괄)'!F24+'6.울산씨밀레'!F24</f>
        <v>1102656000</v>
      </c>
      <c r="H36" s="1712">
        <f t="shared" si="11"/>
        <v>-45743000</v>
      </c>
      <c r="I36" s="645">
        <f t="shared" ref="I36:I39" si="12">H36/E36*100%</f>
        <v>-3.9831974775317636E-2</v>
      </c>
      <c r="J36" s="88"/>
    </row>
    <row r="37" spans="1:10" ht="17.5" customHeight="1">
      <c r="A37" s="1897"/>
      <c r="B37" s="1909"/>
      <c r="C37" s="1836"/>
      <c r="D37" s="187" t="s">
        <v>163</v>
      </c>
      <c r="E37" s="244">
        <f>'4. 서울Y 봉천종합사회복지관'!D25+'5.은학의집(총괄)'!D25+'6.울산씨밀레'!D25</f>
        <v>439630740</v>
      </c>
      <c r="F37" s="244">
        <f>'4. 서울Y 봉천종합사회복지관'!E25+'5.은학의집(총괄)'!E25+'6.울산씨밀레'!E25</f>
        <v>511575010</v>
      </c>
      <c r="G37" s="244">
        <f>'4. 서울Y 봉천종합사회복지관'!F25+'5.은학의집(총괄)'!F25+'6.울산씨밀레'!F25</f>
        <v>511578710</v>
      </c>
      <c r="H37" s="1712">
        <f t="shared" si="11"/>
        <v>71947970</v>
      </c>
      <c r="I37" s="645">
        <f t="shared" si="12"/>
        <v>0.16365545775984636</v>
      </c>
      <c r="J37" s="88"/>
    </row>
    <row r="38" spans="1:10" ht="17.5" customHeight="1">
      <c r="A38" s="1897"/>
      <c r="B38" s="1909"/>
      <c r="C38" s="1814"/>
      <c r="D38" s="187" t="s">
        <v>177</v>
      </c>
      <c r="E38" s="244">
        <f>'4. 서울Y 봉천종합사회복지관'!D26+'5.은학의집(총괄)'!D26+'6.울산씨밀레'!D26</f>
        <v>78830000</v>
      </c>
      <c r="F38" s="244">
        <f>'4. 서울Y 봉천종합사회복지관'!E26+'5.은학의집(총괄)'!E26+'6.울산씨밀레'!E26</f>
        <v>28890450</v>
      </c>
      <c r="G38" s="244">
        <f>'4. 서울Y 봉천종합사회복지관'!F26+'5.은학의집(총괄)'!F26+'6.울산씨밀레'!F26</f>
        <v>51430000</v>
      </c>
      <c r="H38" s="1712">
        <f t="shared" si="11"/>
        <v>-27400000</v>
      </c>
      <c r="I38" s="645">
        <f t="shared" si="12"/>
        <v>-0.34758340733223392</v>
      </c>
      <c r="J38" s="88"/>
    </row>
    <row r="39" spans="1:10" ht="18" customHeight="1">
      <c r="A39" s="1897"/>
      <c r="B39" s="1910"/>
      <c r="C39" s="1903" t="s">
        <v>71</v>
      </c>
      <c r="D39" s="1939"/>
      <c r="E39" s="667">
        <f>SUM(E35:E38)</f>
        <v>2012650740</v>
      </c>
      <c r="F39" s="667">
        <f t="shared" ref="F39:G39" si="13">SUM(F35:F38)</f>
        <v>1979525040</v>
      </c>
      <c r="G39" s="667">
        <f t="shared" si="13"/>
        <v>2008355710</v>
      </c>
      <c r="H39" s="1713">
        <f t="shared" si="11"/>
        <v>-4295030</v>
      </c>
      <c r="I39" s="646">
        <f t="shared" si="12"/>
        <v>-2.1340165556990778E-3</v>
      </c>
      <c r="J39" s="89"/>
    </row>
    <row r="40" spans="1:10" ht="17.5" customHeight="1">
      <c r="A40" s="1897"/>
      <c r="B40" s="1940" t="s">
        <v>229</v>
      </c>
      <c r="C40" s="1853" t="s">
        <v>229</v>
      </c>
      <c r="D40" s="475" t="s">
        <v>162</v>
      </c>
      <c r="E40" s="81">
        <f>'4. 서울Y 봉천종합사회복지관'!D28+'5.은학의집(총괄)'!D28+'6.울산씨밀레'!D28</f>
        <v>169205000</v>
      </c>
      <c r="F40" s="81">
        <f>'4. 서울Y 봉천종합사회복지관'!E28+'5.은학의집(총괄)'!E28+'6.울산씨밀레'!E28</f>
        <v>158879475</v>
      </c>
      <c r="G40" s="473">
        <f>'4. 서울Y 봉천종합사회복지관'!F28+'5.은학의집(총괄)'!F28+'6.울산씨밀레'!F28</f>
        <v>220435000</v>
      </c>
      <c r="H40" s="1714">
        <f t="shared" si="11"/>
        <v>51230000</v>
      </c>
      <c r="I40" s="476">
        <f>H40/E40*100%</f>
        <v>0.3027688307083124</v>
      </c>
      <c r="J40" s="477"/>
    </row>
    <row r="41" spans="1:10" ht="17.5" customHeight="1">
      <c r="A41" s="1897"/>
      <c r="B41" s="1856"/>
      <c r="C41" s="1815"/>
      <c r="D41" s="177" t="s">
        <v>174</v>
      </c>
      <c r="E41" s="79">
        <f>'4. 서울Y 봉천종합사회복지관'!D29+'5.은학의집(총괄)'!D29+'6.울산씨밀레'!D29</f>
        <v>59960000</v>
      </c>
      <c r="F41" s="79">
        <f>'4. 서울Y 봉천종합사회복지관'!E29+'5.은학의집(총괄)'!E29+'6.울산씨밀레'!E29</f>
        <v>48966154</v>
      </c>
      <c r="G41" s="79">
        <f>'4. 서울Y 봉천종합사회복지관'!F29+'5.은학의집(총괄)'!F29+'6.울산씨밀레'!F29</f>
        <v>53700000</v>
      </c>
      <c r="H41" s="1715">
        <f t="shared" si="11"/>
        <v>-6260000</v>
      </c>
      <c r="I41" s="151">
        <f>H41/E41*100%</f>
        <v>-0.10440293529019347</v>
      </c>
      <c r="J41" s="46"/>
    </row>
    <row r="42" spans="1:10" ht="18" customHeight="1" thickBot="1">
      <c r="A42" s="1897"/>
      <c r="B42" s="1857"/>
      <c r="C42" s="1914" t="s">
        <v>71</v>
      </c>
      <c r="D42" s="1914"/>
      <c r="E42" s="558">
        <f>SUM(E40:E41)</f>
        <v>229165000</v>
      </c>
      <c r="F42" s="558">
        <f t="shared" ref="F42:G42" si="14">SUM(F40:F41)</f>
        <v>207845629</v>
      </c>
      <c r="G42" s="558">
        <f t="shared" si="14"/>
        <v>274135000</v>
      </c>
      <c r="H42" s="1716">
        <f t="shared" si="11"/>
        <v>44970000</v>
      </c>
      <c r="I42" s="559">
        <f>H42/E42*100%</f>
        <v>0.19623415443021403</v>
      </c>
      <c r="J42" s="51"/>
    </row>
    <row r="43" spans="1:10" ht="17.5" customHeight="1">
      <c r="A43" s="1897"/>
      <c r="B43" s="1911" t="s">
        <v>241</v>
      </c>
      <c r="C43" s="1835" t="s">
        <v>241</v>
      </c>
      <c r="D43" s="176" t="s">
        <v>130</v>
      </c>
      <c r="E43" s="79">
        <f>'4. 서울Y 봉천종합사회복지관'!D31+'5.은학의집(총괄)'!D31+'6.울산씨밀레'!D31+'7.강서구지역자활센터(장기요양사업)'!D31</f>
        <v>2004329956</v>
      </c>
      <c r="F43" s="79">
        <f>'4. 서울Y 봉천종합사회복지관'!E31+'5.은학의집(총괄)'!E31+'6.울산씨밀레'!E31+'7.강서구지역자활센터(장기요양사업)'!E31</f>
        <v>1027482290</v>
      </c>
      <c r="G43" s="79">
        <f>'4. 서울Y 봉천종합사회복지관'!F31+'5.은학의집(총괄)'!F31+'6.울산씨밀레'!F31+'7.강서구지역자활센터(장기요양사업)'!F31</f>
        <v>1029297324</v>
      </c>
      <c r="H43" s="1717">
        <f>G43-E43</f>
        <v>-975032632</v>
      </c>
      <c r="I43" s="478">
        <f t="shared" ref="I43:I45" si="15">H43/E43*100%</f>
        <v>-0.48646313401704205</v>
      </c>
      <c r="J43" s="87"/>
    </row>
    <row r="44" spans="1:10" ht="17.5" customHeight="1">
      <c r="A44" s="1897"/>
      <c r="B44" s="1912"/>
      <c r="C44" s="1814"/>
      <c r="D44" s="412" t="s">
        <v>182</v>
      </c>
      <c r="E44" s="79">
        <f>'4. 서울Y 봉천종합사회복지관'!D32+'5.은학의집(총괄)'!D32+'6.울산씨밀레'!D32+'7.강서구지역자활센터(장기요양사업)'!D32</f>
        <v>317095870</v>
      </c>
      <c r="F44" s="79">
        <f>'4. 서울Y 봉천종합사회복지관'!E32+'5.은학의집(총괄)'!E32+'6.울산씨밀레'!E32+'7.강서구지역자활센터(장기요양사업)'!E32</f>
        <v>208574610</v>
      </c>
      <c r="G44" s="79">
        <f>'4. 서울Y 봉천종합사회복지관'!F32+'5.은학의집(총괄)'!F32+'6.울산씨밀레'!F32+'7.강서구지역자활센터(장기요양사업)'!F32</f>
        <v>210025870</v>
      </c>
      <c r="H44" s="1717">
        <f t="shared" ref="H44:H45" si="16">G44-E44</f>
        <v>-107070000</v>
      </c>
      <c r="I44" s="242">
        <f t="shared" si="15"/>
        <v>-0.33765813474644119</v>
      </c>
      <c r="J44" s="91"/>
    </row>
    <row r="45" spans="1:10" ht="18" customHeight="1" thickBot="1">
      <c r="A45" s="1897"/>
      <c r="B45" s="1913"/>
      <c r="C45" s="1914" t="s">
        <v>71</v>
      </c>
      <c r="D45" s="1914"/>
      <c r="E45" s="553">
        <f>SUM(E43:E44)</f>
        <v>2321425826</v>
      </c>
      <c r="F45" s="553">
        <f t="shared" ref="F45:G45" si="17">SUM(F43:F44)</f>
        <v>1236056900</v>
      </c>
      <c r="G45" s="553">
        <f t="shared" si="17"/>
        <v>1239323194</v>
      </c>
      <c r="H45" s="1718">
        <f t="shared" si="16"/>
        <v>-1082102632</v>
      </c>
      <c r="I45" s="669">
        <f t="shared" si="15"/>
        <v>-0.46613706967521262</v>
      </c>
      <c r="J45" s="89"/>
    </row>
    <row r="46" spans="1:10" ht="17.5" customHeight="1">
      <c r="A46" s="1897"/>
      <c r="B46" s="1830" t="s">
        <v>69</v>
      </c>
      <c r="C46" s="1836" t="s">
        <v>69</v>
      </c>
      <c r="D46" s="415" t="s">
        <v>203</v>
      </c>
      <c r="E46" s="79">
        <f>'4. 서울Y 봉천종합사회복지관'!D34+'5.은학의집(총괄)'!D34+'6.울산씨밀레'!D34</f>
        <v>6500000</v>
      </c>
      <c r="F46" s="79">
        <f>'4. 서울Y 봉천종합사회복지관'!E34+'5.은학의집(총괄)'!E34+'6.울산씨밀레'!E34</f>
        <v>0</v>
      </c>
      <c r="G46" s="79">
        <f>'4. 서울Y 봉천종합사회복지관'!F34+'5.은학의집(총괄)'!F34+'6.울산씨밀레'!F34</f>
        <v>20100000</v>
      </c>
      <c r="H46" s="1717">
        <f t="shared" si="11"/>
        <v>13600000</v>
      </c>
      <c r="I46" s="474">
        <f>H46/E46*100%</f>
        <v>2.0923076923076924</v>
      </c>
      <c r="J46" s="652"/>
    </row>
    <row r="47" spans="1:10" ht="17.5" customHeight="1">
      <c r="A47" s="1897"/>
      <c r="B47" s="1830"/>
      <c r="C47" s="1836"/>
      <c r="D47" s="638" t="s">
        <v>128</v>
      </c>
      <c r="E47" s="79">
        <f>'4. 서울Y 봉천종합사회복지관'!D35+'5.은학의집(총괄)'!D35+'6.울산씨밀레'!D35</f>
        <v>0</v>
      </c>
      <c r="F47" s="79">
        <f>'4. 서울Y 봉천종합사회복지관'!E35+'5.은학의집(총괄)'!E35+'6.울산씨밀레'!E35</f>
        <v>0</v>
      </c>
      <c r="G47" s="79">
        <f>'4. 서울Y 봉천종합사회복지관'!F35+'5.은학의집(총괄)'!F35+'6.울산씨밀레'!F35</f>
        <v>0</v>
      </c>
      <c r="H47" s="1717">
        <f t="shared" si="11"/>
        <v>0</v>
      </c>
      <c r="I47" s="474"/>
      <c r="J47" s="1384"/>
    </row>
    <row r="48" spans="1:10" ht="17.5" customHeight="1">
      <c r="A48" s="1897"/>
      <c r="B48" s="1830"/>
      <c r="C48" s="1814"/>
      <c r="D48" s="416" t="s">
        <v>247</v>
      </c>
      <c r="E48" s="79">
        <f>'4. 서울Y 봉천종합사회복지관'!D36+'5.은학의집(총괄)'!D36+'6.울산씨밀레'!D36</f>
        <v>10000000</v>
      </c>
      <c r="F48" s="79">
        <f>'4. 서울Y 봉천종합사회복지관'!E36+'5.은학의집(총괄)'!E36+'6.울산씨밀레'!E36</f>
        <v>0</v>
      </c>
      <c r="G48" s="79">
        <f>'4. 서울Y 봉천종합사회복지관'!F36+'5.은학의집(총괄)'!F36+'6.울산씨밀레'!F36</f>
        <v>10000000</v>
      </c>
      <c r="H48" s="1717">
        <f t="shared" si="11"/>
        <v>0</v>
      </c>
      <c r="I48" s="474">
        <f t="shared" ref="I48" si="18">H48/E48*100%</f>
        <v>0</v>
      </c>
      <c r="J48" s="91"/>
    </row>
    <row r="49" spans="1:10" ht="18" customHeight="1" thickBot="1">
      <c r="A49" s="1897"/>
      <c r="B49" s="1831"/>
      <c r="C49" s="1941" t="s">
        <v>71</v>
      </c>
      <c r="D49" s="1942"/>
      <c r="E49" s="639">
        <f>SUM(E46:E48)</f>
        <v>16500000</v>
      </c>
      <c r="F49" s="639">
        <f>SUM(F46:F48)</f>
        <v>0</v>
      </c>
      <c r="G49" s="639">
        <f>SUM(G46:G48)</f>
        <v>30100000</v>
      </c>
      <c r="H49" s="1719">
        <f t="shared" si="11"/>
        <v>13600000</v>
      </c>
      <c r="I49" s="670">
        <f>H49/E49*100%</f>
        <v>0.82424242424242422</v>
      </c>
      <c r="J49" s="51"/>
    </row>
    <row r="50" spans="1:10" ht="17.5" customHeight="1">
      <c r="A50" s="1897"/>
      <c r="B50" s="1829" t="s">
        <v>74</v>
      </c>
      <c r="C50" s="1835" t="s">
        <v>74</v>
      </c>
      <c r="D50" s="178" t="s">
        <v>159</v>
      </c>
      <c r="E50" s="81">
        <f>'4. 서울Y 봉천종합사회복지관'!D38+'5.은학의집(총괄)'!D38+'6.울산씨밀레'!D38+'7.강서구지역자활센터(장기요양사업)'!D38</f>
        <v>1413412154</v>
      </c>
      <c r="F50" s="81">
        <f>'4. 서울Y 봉천종합사회복지관'!E38+'5.은학의집(총괄)'!E38+'6.울산씨밀레'!E38+'7.강서구지역자활센터(장기요양사업)'!E38</f>
        <v>1487442422</v>
      </c>
      <c r="G50" s="473">
        <f>'4. 서울Y 봉천종합사회복지관'!F38+'5.은학의집(총괄)'!F38+'6.울산씨밀레'!F38+'7.강서구지역자활센터(장기요양사업)'!F38</f>
        <v>1487442422</v>
      </c>
      <c r="H50" s="1720">
        <f t="shared" si="11"/>
        <v>74030268</v>
      </c>
      <c r="I50" s="151">
        <f t="shared" ref="I50:I56" si="19">H50/E50*100%</f>
        <v>5.2376985573876704E-2</v>
      </c>
      <c r="J50" s="83"/>
    </row>
    <row r="51" spans="1:10">
      <c r="A51" s="1897"/>
      <c r="B51" s="1830"/>
      <c r="C51" s="1814"/>
      <c r="D51" s="416" t="s">
        <v>101</v>
      </c>
      <c r="E51" s="79">
        <f>'4. 서울Y 봉천종합사회복지관'!D39+'5.은학의집(총괄)'!D39+'6.울산씨밀레'!D39</f>
        <v>66600294</v>
      </c>
      <c r="F51" s="79">
        <f>'4. 서울Y 봉천종합사회복지관'!E39+'5.은학의집(총괄)'!E39+'6.울산씨밀레'!E39</f>
        <v>98969271</v>
      </c>
      <c r="G51" s="79">
        <f>'4. 서울Y 봉천종합사회복지관'!F39+'5.은학의집(총괄)'!F39+'6.울산씨밀레'!F39</f>
        <v>98969271</v>
      </c>
      <c r="H51" s="1709">
        <f t="shared" si="11"/>
        <v>32368977</v>
      </c>
      <c r="I51" s="151">
        <f t="shared" si="19"/>
        <v>0.48601853018847035</v>
      </c>
      <c r="J51" s="47"/>
    </row>
    <row r="52" spans="1:10" ht="18" customHeight="1" thickBot="1">
      <c r="A52" s="1897"/>
      <c r="B52" s="1831"/>
      <c r="C52" s="1932" t="s">
        <v>71</v>
      </c>
      <c r="D52" s="1933"/>
      <c r="E52" s="558">
        <f>SUM(E50:E51)</f>
        <v>1480012448</v>
      </c>
      <c r="F52" s="627">
        <f t="shared" ref="F52:G52" si="20">SUM(F50:F51)</f>
        <v>1586411693</v>
      </c>
      <c r="G52" s="723">
        <f t="shared" si="20"/>
        <v>1586411693</v>
      </c>
      <c r="H52" s="1716">
        <f t="shared" si="11"/>
        <v>106399245</v>
      </c>
      <c r="I52" s="577">
        <f t="shared" si="19"/>
        <v>7.1890777097031552E-2</v>
      </c>
      <c r="J52" s="51"/>
    </row>
    <row r="53" spans="1:10" ht="17.5" customHeight="1">
      <c r="A53" s="1897"/>
      <c r="B53" s="1829" t="s">
        <v>61</v>
      </c>
      <c r="C53" s="1853" t="s">
        <v>61</v>
      </c>
      <c r="D53" s="176" t="s">
        <v>250</v>
      </c>
      <c r="E53" s="81">
        <f>'4. 서울Y 봉천종합사회복지관'!D41+'5.은학의집(총괄)'!D41+'6.울산씨밀레'!D41</f>
        <v>0</v>
      </c>
      <c r="F53" s="81">
        <f>'4. 서울Y 봉천종합사회복지관'!E41+'5.은학의집(총괄)'!E41+'6.울산씨밀레'!E41</f>
        <v>0</v>
      </c>
      <c r="G53" s="81">
        <f>'4. 서울Y 봉천종합사회복지관'!F41+'5.은학의집(총괄)'!F41+'6.울산씨밀레'!F41</f>
        <v>0</v>
      </c>
      <c r="H53" s="1721">
        <f t="shared" si="11"/>
        <v>0</v>
      </c>
      <c r="I53" s="478"/>
      <c r="J53" s="87"/>
    </row>
    <row r="54" spans="1:10" ht="17.5" customHeight="1">
      <c r="A54" s="1897"/>
      <c r="B54" s="1830"/>
      <c r="C54" s="1814"/>
      <c r="D54" s="636" t="s">
        <v>118</v>
      </c>
      <c r="E54" s="77">
        <f>'4. 서울Y 봉천종합사회복지관'!D42+'5.은학의집(총괄)'!D42+'6.울산씨밀레'!D42+'7.강서구지역자활센터(장기요양사업)'!D42</f>
        <v>1774520</v>
      </c>
      <c r="F54" s="77">
        <f>'4. 서울Y 봉천종합사회복지관'!E42+'5.은학의집(총괄)'!E42+'6.울산씨밀레'!E42+'7.강서구지역자활센터(장기요양사업)'!E42</f>
        <v>559193</v>
      </c>
      <c r="G54" s="77">
        <f>'4. 서울Y 봉천종합사회복지관'!F42+'5.은학의집(총괄)'!F42+'6.울산씨밀레'!F42+'7.강서구지역자활센터(장기요양사업)'!F42</f>
        <v>17169573</v>
      </c>
      <c r="H54" s="1722">
        <f t="shared" si="11"/>
        <v>15395053</v>
      </c>
      <c r="I54" s="242">
        <f t="shared" si="19"/>
        <v>8.6756153776795983</v>
      </c>
      <c r="J54" s="257"/>
    </row>
    <row r="55" spans="1:10" ht="17.5" customHeight="1">
      <c r="A55" s="1897"/>
      <c r="B55" s="1830"/>
      <c r="C55" s="1814"/>
      <c r="D55" s="412" t="s">
        <v>209</v>
      </c>
      <c r="E55" s="77">
        <f>'4. 서울Y 봉천종합사회복지관'!D43+'5.은학의집(총괄)'!D43+'6.울산씨밀레'!D43</f>
        <v>33600000</v>
      </c>
      <c r="F55" s="77">
        <f>'4. 서울Y 봉천종합사회복지관'!E43+'5.은학의집(총괄)'!E43+'6.울산씨밀레'!E43</f>
        <v>14724500</v>
      </c>
      <c r="G55" s="77">
        <f>'4. 서울Y 봉천종합사회복지관'!F43+'5.은학의집(총괄)'!F43+'6.울산씨밀레'!F43</f>
        <v>15190000</v>
      </c>
      <c r="H55" s="1723">
        <f t="shared" si="11"/>
        <v>-18410000</v>
      </c>
      <c r="I55" s="245">
        <f t="shared" si="19"/>
        <v>-0.54791666666666672</v>
      </c>
      <c r="J55" s="257"/>
    </row>
    <row r="56" spans="1:10" ht="17.5" customHeight="1">
      <c r="A56" s="1897"/>
      <c r="B56" s="1830"/>
      <c r="C56" s="1815"/>
      <c r="D56" s="412" t="s">
        <v>171</v>
      </c>
      <c r="E56" s="79">
        <f>'4. 서울Y 봉천종합사회복지관'!D44+'5.은학의집(총괄)'!D44+'6.울산씨밀레'!D44+'7.강서구지역자활센터(장기요양사업)'!D44</f>
        <v>24383271</v>
      </c>
      <c r="F56" s="79">
        <f>'4. 서울Y 봉천종합사회복지관'!E44+'5.은학의집(총괄)'!E44+'6.울산씨밀레'!E44+'7.강서구지역자활센터(장기요양사업)'!E44</f>
        <v>22889828</v>
      </c>
      <c r="G56" s="79">
        <f>'4. 서울Y 봉천종합사회복지관'!F44+'5.은학의집(총괄)'!F44+'6.울산씨밀레'!F44+'7.강서구지역자활센터(장기요양사업)'!F44</f>
        <v>43202363</v>
      </c>
      <c r="H56" s="1724">
        <f t="shared" si="11"/>
        <v>18819092</v>
      </c>
      <c r="I56" s="242">
        <f t="shared" si="19"/>
        <v>0.77180342210854314</v>
      </c>
      <c r="J56" s="88"/>
    </row>
    <row r="57" spans="1:10" ht="17.5" customHeight="1" thickBot="1">
      <c r="A57" s="1897"/>
      <c r="B57" s="1831"/>
      <c r="C57" s="1903" t="s">
        <v>71</v>
      </c>
      <c r="D57" s="1904"/>
      <c r="E57" s="553">
        <f>SUM(E53:E56)</f>
        <v>59757791</v>
      </c>
      <c r="F57" s="553">
        <f t="shared" ref="F57:G57" si="21">SUM(F53:F56)</f>
        <v>38173521</v>
      </c>
      <c r="G57" s="553">
        <f t="shared" si="21"/>
        <v>75561936</v>
      </c>
      <c r="H57" s="1725">
        <f t="shared" si="11"/>
        <v>15804145</v>
      </c>
      <c r="I57" s="642">
        <f t="shared" ref="I57:I59" si="22">H57/E57*100%</f>
        <v>0.26447003370656724</v>
      </c>
      <c r="J57" s="312"/>
    </row>
    <row r="58" spans="1:10" ht="17.5" customHeight="1">
      <c r="A58" s="1897"/>
      <c r="B58" s="1905" t="s">
        <v>129</v>
      </c>
      <c r="C58" s="1815" t="s">
        <v>53</v>
      </c>
      <c r="D58" s="412" t="s">
        <v>152</v>
      </c>
      <c r="E58" s="79">
        <f>'4. 서울Y 봉천종합사회복지관'!D46+'5.은학의집(총괄)'!D46+'6.울산씨밀레'!D46</f>
        <v>18000000</v>
      </c>
      <c r="F58" s="79">
        <f>'4. 서울Y 봉천종합사회복지관'!E46+'5.은학의집(총괄)'!E46+'6.울산씨밀레'!E46</f>
        <v>18000000</v>
      </c>
      <c r="G58" s="79">
        <f>'4. 서울Y 봉천종합사회복지관'!F46+'5.은학의집(총괄)'!F46+'6.울산씨밀레'!F46</f>
        <v>18000000</v>
      </c>
      <c r="H58" s="1726">
        <f>G58-E58</f>
        <v>0</v>
      </c>
      <c r="I58" s="245">
        <f t="shared" si="22"/>
        <v>0</v>
      </c>
      <c r="J58" s="485"/>
    </row>
    <row r="59" spans="1:10" ht="17.5" customHeight="1">
      <c r="A59" s="1897"/>
      <c r="B59" s="1906"/>
      <c r="C59" s="1815"/>
      <c r="D59" s="412" t="s">
        <v>139</v>
      </c>
      <c r="E59" s="79">
        <f>'4. 서울Y 봉천종합사회복지관'!D47+'5.은학의집(총괄)'!D47+'6.울산씨밀레'!D47</f>
        <v>18000000</v>
      </c>
      <c r="F59" s="79">
        <f>'4. 서울Y 봉천종합사회복지관'!E47+'5.은학의집(총괄)'!E47+'6.울산씨밀레'!E47</f>
        <v>18000000</v>
      </c>
      <c r="G59" s="79">
        <f>'4. 서울Y 봉천종합사회복지관'!F47+'5.은학의집(총괄)'!F47+'6.울산씨밀레'!F47</f>
        <v>18000000</v>
      </c>
      <c r="H59" s="1726">
        <f t="shared" ref="H59:H60" si="23">G59-E59</f>
        <v>0</v>
      </c>
      <c r="I59" s="242">
        <f t="shared" si="22"/>
        <v>0</v>
      </c>
      <c r="J59" s="483"/>
    </row>
    <row r="60" spans="1:10" ht="18" customHeight="1">
      <c r="A60" s="1897"/>
      <c r="B60" s="1907"/>
      <c r="C60" s="1934" t="s">
        <v>71</v>
      </c>
      <c r="D60" s="1934"/>
      <c r="E60" s="671">
        <f>SUM(E58:E59)</f>
        <v>36000000</v>
      </c>
      <c r="F60" s="671">
        <f t="shared" ref="F60:G60" si="24">SUM(F58:F59)</f>
        <v>36000000</v>
      </c>
      <c r="G60" s="671">
        <f t="shared" si="24"/>
        <v>36000000</v>
      </c>
      <c r="H60" s="1727">
        <f t="shared" si="23"/>
        <v>0</v>
      </c>
      <c r="I60" s="642">
        <f>H60/E60*100%</f>
        <v>0</v>
      </c>
      <c r="J60" s="154"/>
    </row>
    <row r="61" spans="1:10" ht="18" customHeight="1" thickBot="1">
      <c r="A61" s="1898"/>
      <c r="B61" s="1935" t="s">
        <v>76</v>
      </c>
      <c r="C61" s="1936"/>
      <c r="D61" s="1937"/>
      <c r="E61" s="314">
        <f>SUM(E32+E34+E39+E42+E45+E49+E52+E57+E60)</f>
        <v>7066161559</v>
      </c>
      <c r="F61" s="314">
        <f t="shared" ref="F61:G61" si="25">SUM(F32+F34+F39+F42+F45+F49+F52+F57+F60)</f>
        <v>5582558493</v>
      </c>
      <c r="G61" s="314">
        <f t="shared" si="25"/>
        <v>5838561559</v>
      </c>
      <c r="H61" s="1728">
        <f t="shared" si="11"/>
        <v>-1227600000</v>
      </c>
      <c r="I61" s="665">
        <f>H61/E61*100%</f>
        <v>-0.17372939887518357</v>
      </c>
      <c r="J61" s="86"/>
    </row>
    <row r="62" spans="1:10" ht="20.5" hidden="1">
      <c r="B62" s="1918" t="s">
        <v>24</v>
      </c>
      <c r="C62" s="1918"/>
      <c r="D62" s="1918"/>
      <c r="E62" s="1918"/>
      <c r="F62" s="1918"/>
      <c r="G62" s="1918"/>
      <c r="H62" s="1918"/>
      <c r="I62" s="1918"/>
      <c r="J62" s="1918"/>
    </row>
    <row r="63" spans="1:10" ht="17.5" hidden="1" customHeight="1">
      <c r="A63" s="1771" t="s">
        <v>66</v>
      </c>
      <c r="B63" s="1841" t="s">
        <v>82</v>
      </c>
      <c r="C63" s="1842"/>
      <c r="D63" s="1842"/>
      <c r="E63" s="1799" t="s">
        <v>283</v>
      </c>
      <c r="F63" s="1799" t="s">
        <v>46</v>
      </c>
      <c r="G63" s="1799" t="s">
        <v>39</v>
      </c>
      <c r="H63" s="1801" t="s">
        <v>108</v>
      </c>
      <c r="I63" s="1803" t="s">
        <v>186</v>
      </c>
      <c r="J63" s="1805" t="s">
        <v>146</v>
      </c>
    </row>
    <row r="64" spans="1:10" ht="18" hidden="1" customHeight="1">
      <c r="A64" s="1772"/>
      <c r="B64" s="92" t="s">
        <v>78</v>
      </c>
      <c r="C64" s="155" t="s">
        <v>88</v>
      </c>
      <c r="D64" s="155" t="s">
        <v>89</v>
      </c>
      <c r="E64" s="1800"/>
      <c r="F64" s="1800"/>
      <c r="G64" s="1800"/>
      <c r="H64" s="1802"/>
      <c r="I64" s="1804"/>
      <c r="J64" s="1806"/>
    </row>
    <row r="65" spans="1:10" ht="16.5" hidden="1" customHeight="1">
      <c r="A65" s="1774" t="s">
        <v>276</v>
      </c>
      <c r="B65" s="1921" t="s">
        <v>85</v>
      </c>
      <c r="C65" s="1923" t="s">
        <v>85</v>
      </c>
      <c r="D65" s="329" t="s">
        <v>189</v>
      </c>
      <c r="E65" s="135">
        <f>'7. 강서구어린이집'!D8</f>
        <v>0</v>
      </c>
      <c r="F65" s="135">
        <f>'7. 강서구어린이집'!E8</f>
        <v>0</v>
      </c>
      <c r="G65" s="135">
        <f>'7. 강서구어린이집'!F8</f>
        <v>0</v>
      </c>
      <c r="H65" s="1729">
        <f>G65-E65</f>
        <v>0</v>
      </c>
      <c r="I65" s="330" t="e">
        <f>H65/E65*100%</f>
        <v>#DIV/0!</v>
      </c>
      <c r="J65" s="331"/>
    </row>
    <row r="66" spans="1:10" hidden="1">
      <c r="A66" s="1774"/>
      <c r="B66" s="1922"/>
      <c r="C66" s="1924"/>
      <c r="D66" s="186" t="s">
        <v>184</v>
      </c>
      <c r="E66" s="135">
        <f>'7. 강서구어린이집'!D9</f>
        <v>0</v>
      </c>
      <c r="F66" s="135">
        <f>'7. 강서구어린이집'!E9</f>
        <v>0</v>
      </c>
      <c r="G66" s="135">
        <f>'7. 강서구어린이집'!F9</f>
        <v>0</v>
      </c>
      <c r="H66" s="1730">
        <f t="shared" ref="H66:H86" si="26">G66-E66</f>
        <v>0</v>
      </c>
      <c r="I66" s="330" t="e">
        <f t="shared" ref="I66:I88" si="27">H66/E66*100%</f>
        <v>#DIV/0!</v>
      </c>
      <c r="J66" s="74"/>
    </row>
    <row r="67" spans="1:10" hidden="1">
      <c r="A67" s="1774"/>
      <c r="B67" s="493"/>
      <c r="C67" s="1879" t="s">
        <v>71</v>
      </c>
      <c r="D67" s="1880"/>
      <c r="E67" s="494">
        <f>SUM(E65:E66)</f>
        <v>0</v>
      </c>
      <c r="F67" s="494">
        <f t="shared" ref="F67:G67" si="28">SUM(F65:F66)</f>
        <v>0</v>
      </c>
      <c r="G67" s="494">
        <f t="shared" si="28"/>
        <v>0</v>
      </c>
      <c r="H67" s="1731">
        <f t="shared" si="26"/>
        <v>0</v>
      </c>
      <c r="I67" s="328" t="e">
        <f t="shared" si="27"/>
        <v>#DIV/0!</v>
      </c>
      <c r="J67" s="495"/>
    </row>
    <row r="68" spans="1:10" ht="32" hidden="1">
      <c r="A68" s="1774"/>
      <c r="B68" s="1883" t="s">
        <v>224</v>
      </c>
      <c r="C68" s="500" t="s">
        <v>124</v>
      </c>
      <c r="D68" s="501" t="s">
        <v>199</v>
      </c>
      <c r="E68" s="502">
        <f>'7. 강서구어린이집'!D11</f>
        <v>0</v>
      </c>
      <c r="F68" s="502">
        <f>'7. 강서구어린이집'!E11</f>
        <v>0</v>
      </c>
      <c r="G68" s="502">
        <f>'7. 강서구어린이집'!F11</f>
        <v>0</v>
      </c>
      <c r="H68" s="1732">
        <f t="shared" si="26"/>
        <v>0</v>
      </c>
      <c r="I68" s="503" t="e">
        <f t="shared" si="27"/>
        <v>#DIV/0!</v>
      </c>
      <c r="J68" s="504"/>
    </row>
    <row r="69" spans="1:10" hidden="1">
      <c r="A69" s="1774"/>
      <c r="B69" s="1884"/>
      <c r="C69" s="414" t="s">
        <v>220</v>
      </c>
      <c r="D69" s="186" t="s">
        <v>220</v>
      </c>
      <c r="E69" s="229">
        <f>'7. 강서구어린이집'!D12</f>
        <v>0</v>
      </c>
      <c r="F69" s="229">
        <f>'7. 강서구어린이집'!E12</f>
        <v>0</v>
      </c>
      <c r="G69" s="229">
        <f>'7. 강서구어린이집'!F12</f>
        <v>0</v>
      </c>
      <c r="H69" s="1730">
        <f t="shared" si="26"/>
        <v>0</v>
      </c>
      <c r="I69" s="330" t="e">
        <f t="shared" si="27"/>
        <v>#DIV/0!</v>
      </c>
      <c r="J69" s="74"/>
    </row>
    <row r="70" spans="1:10" hidden="1">
      <c r="A70" s="1774"/>
      <c r="B70" s="1885"/>
      <c r="C70" s="1881" t="s">
        <v>71</v>
      </c>
      <c r="D70" s="1882"/>
      <c r="E70" s="494">
        <f>SUM(E68:E69)</f>
        <v>0</v>
      </c>
      <c r="F70" s="494">
        <f t="shared" ref="F70:G70" si="29">SUM(F68:F69)</f>
        <v>0</v>
      </c>
      <c r="G70" s="494">
        <f t="shared" si="29"/>
        <v>0</v>
      </c>
      <c r="H70" s="1731">
        <f t="shared" si="26"/>
        <v>0</v>
      </c>
      <c r="I70" s="499" t="e">
        <f t="shared" si="27"/>
        <v>#DIV/0!</v>
      </c>
      <c r="J70" s="495"/>
    </row>
    <row r="71" spans="1:10" hidden="1">
      <c r="A71" s="1774"/>
      <c r="B71" s="1925" t="s">
        <v>219</v>
      </c>
      <c r="C71" s="498" t="s">
        <v>149</v>
      </c>
      <c r="D71" s="329" t="s">
        <v>149</v>
      </c>
      <c r="E71" s="135">
        <f>'7. 강서구어린이집'!D15</f>
        <v>0</v>
      </c>
      <c r="F71" s="135">
        <f>'7. 강서구어린이집'!E15</f>
        <v>0</v>
      </c>
      <c r="G71" s="135">
        <f>'7. 강서구어린이집'!F15</f>
        <v>0</v>
      </c>
      <c r="H71" s="1729">
        <f t="shared" si="26"/>
        <v>0</v>
      </c>
      <c r="I71" s="330" t="e">
        <f t="shared" si="27"/>
        <v>#DIV/0!</v>
      </c>
      <c r="J71" s="331"/>
    </row>
    <row r="72" spans="1:10" hidden="1">
      <c r="A72" s="1774"/>
      <c r="B72" s="1926"/>
      <c r="C72" s="1928" t="s">
        <v>233</v>
      </c>
      <c r="D72" s="186" t="s">
        <v>188</v>
      </c>
      <c r="E72" s="229">
        <f>'7. 강서구어린이집'!D16</f>
        <v>0</v>
      </c>
      <c r="F72" s="229">
        <f>'7. 강서구어린이집'!E16</f>
        <v>0</v>
      </c>
      <c r="G72" s="229">
        <f>'7. 강서구어린이집'!F16</f>
        <v>0</v>
      </c>
      <c r="H72" s="1730">
        <f t="shared" si="26"/>
        <v>0</v>
      </c>
      <c r="I72" s="330" t="e">
        <f t="shared" si="27"/>
        <v>#DIV/0!</v>
      </c>
      <c r="J72" s="74"/>
    </row>
    <row r="73" spans="1:10" hidden="1">
      <c r="A73" s="1774"/>
      <c r="B73" s="1926"/>
      <c r="C73" s="1929"/>
      <c r="D73" s="186" t="s">
        <v>154</v>
      </c>
      <c r="E73" s="229">
        <f>'7. 강서구어린이집'!D17</f>
        <v>0</v>
      </c>
      <c r="F73" s="229">
        <f>'7. 강서구어린이집'!E17</f>
        <v>0</v>
      </c>
      <c r="G73" s="229">
        <f>'7. 강서구어린이집'!F17</f>
        <v>0</v>
      </c>
      <c r="H73" s="1730">
        <f t="shared" si="26"/>
        <v>0</v>
      </c>
      <c r="I73" s="330" t="e">
        <f t="shared" si="27"/>
        <v>#DIV/0!</v>
      </c>
      <c r="J73" s="74"/>
    </row>
    <row r="74" spans="1:10" hidden="1">
      <c r="A74" s="1774"/>
      <c r="B74" s="1926"/>
      <c r="C74" s="1929"/>
      <c r="D74" s="186" t="s">
        <v>167</v>
      </c>
      <c r="E74" s="229">
        <f>'7. 강서구어린이집'!D18</f>
        <v>0</v>
      </c>
      <c r="F74" s="229">
        <f>'7. 강서구어린이집'!E18</f>
        <v>0</v>
      </c>
      <c r="G74" s="229">
        <f>'7. 강서구어린이집'!F18</f>
        <v>0</v>
      </c>
      <c r="H74" s="1730">
        <f t="shared" si="26"/>
        <v>0</v>
      </c>
      <c r="I74" s="330" t="e">
        <f t="shared" si="27"/>
        <v>#DIV/0!</v>
      </c>
      <c r="J74" s="74"/>
    </row>
    <row r="75" spans="1:10" hidden="1">
      <c r="A75" s="1774"/>
      <c r="B75" s="1927"/>
      <c r="C75" s="1886" t="s">
        <v>71</v>
      </c>
      <c r="D75" s="1887"/>
      <c r="E75" s="494">
        <f>SUM(E71:E74)</f>
        <v>0</v>
      </c>
      <c r="F75" s="494">
        <f t="shared" ref="F75:G75" si="30">SUM(F71:F74)</f>
        <v>0</v>
      </c>
      <c r="G75" s="494">
        <f t="shared" si="30"/>
        <v>0</v>
      </c>
      <c r="H75" s="1731">
        <f t="shared" si="26"/>
        <v>0</v>
      </c>
      <c r="I75" s="499" t="e">
        <f t="shared" si="27"/>
        <v>#DIV/0!</v>
      </c>
      <c r="J75" s="495"/>
    </row>
    <row r="76" spans="1:10" hidden="1">
      <c r="A76" s="1774"/>
      <c r="B76" s="497" t="s">
        <v>69</v>
      </c>
      <c r="C76" s="498" t="s">
        <v>69</v>
      </c>
      <c r="D76" s="329" t="s">
        <v>69</v>
      </c>
      <c r="E76" s="135">
        <f>'7. 강서구어린이집'!D21</f>
        <v>0</v>
      </c>
      <c r="F76" s="135">
        <f>'7. 강서구어린이집'!E21</f>
        <v>0</v>
      </c>
      <c r="G76" s="135">
        <f>'7. 강서구어린이집'!F21</f>
        <v>0</v>
      </c>
      <c r="H76" s="1729">
        <f t="shared" si="26"/>
        <v>0</v>
      </c>
      <c r="I76" s="330" t="e">
        <f t="shared" si="27"/>
        <v>#DIV/0!</v>
      </c>
      <c r="J76" s="331"/>
    </row>
    <row r="77" spans="1:10" hidden="1">
      <c r="A77" s="1774"/>
      <c r="B77" s="514"/>
      <c r="C77" s="1881" t="s">
        <v>71</v>
      </c>
      <c r="D77" s="1882"/>
      <c r="E77" s="494">
        <f>'7. 강서구어린이집'!D22</f>
        <v>0</v>
      </c>
      <c r="F77" s="494">
        <f>'7. 강서구어린이집'!E22</f>
        <v>0</v>
      </c>
      <c r="G77" s="494">
        <f>'7. 강서구어린이집'!F22</f>
        <v>0</v>
      </c>
      <c r="H77" s="1731">
        <f t="shared" si="26"/>
        <v>0</v>
      </c>
      <c r="I77" s="328" t="e">
        <f t="shared" si="27"/>
        <v>#DIV/0!</v>
      </c>
      <c r="J77" s="495"/>
    </row>
    <row r="78" spans="1:10" hidden="1">
      <c r="A78" s="1774"/>
      <c r="B78" s="513" t="s">
        <v>94</v>
      </c>
      <c r="C78" s="498" t="s">
        <v>94</v>
      </c>
      <c r="D78" s="329" t="s">
        <v>157</v>
      </c>
      <c r="E78" s="135">
        <f>'7. 강서구어린이집'!D23</f>
        <v>0</v>
      </c>
      <c r="F78" s="135">
        <f>'7. 강서구어린이집'!E23</f>
        <v>0</v>
      </c>
      <c r="G78" s="135">
        <f>'7. 강서구어린이집'!F23</f>
        <v>0</v>
      </c>
      <c r="H78" s="1729">
        <f t="shared" si="26"/>
        <v>0</v>
      </c>
      <c r="I78" s="330" t="e">
        <f t="shared" si="27"/>
        <v>#DIV/0!</v>
      </c>
      <c r="J78" s="331"/>
    </row>
    <row r="79" spans="1:10" hidden="1">
      <c r="A79" s="1774"/>
      <c r="B79" s="515"/>
      <c r="C79" s="1881" t="s">
        <v>71</v>
      </c>
      <c r="D79" s="1882"/>
      <c r="E79" s="494">
        <f>'7. 강서구어린이집'!D26</f>
        <v>0</v>
      </c>
      <c r="F79" s="494">
        <f>'7. 강서구어린이집'!E26</f>
        <v>0</v>
      </c>
      <c r="G79" s="494">
        <f>'7. 강서구어린이집'!F26</f>
        <v>0</v>
      </c>
      <c r="H79" s="1731">
        <f t="shared" si="26"/>
        <v>0</v>
      </c>
      <c r="I79" s="328" t="e">
        <f t="shared" si="27"/>
        <v>#DIV/0!</v>
      </c>
      <c r="J79" s="495"/>
    </row>
    <row r="80" spans="1:10" hidden="1">
      <c r="A80" s="1774"/>
      <c r="B80" s="513" t="s">
        <v>153</v>
      </c>
      <c r="C80" s="498" t="s">
        <v>153</v>
      </c>
      <c r="D80" s="329" t="s">
        <v>153</v>
      </c>
      <c r="E80" s="135">
        <f>'7. 강서구어린이집'!D25</f>
        <v>0</v>
      </c>
      <c r="F80" s="135">
        <f>'7. 강서구어린이집'!E25</f>
        <v>0</v>
      </c>
      <c r="G80" s="135">
        <f>'7. 강서구어린이집'!F25</f>
        <v>0</v>
      </c>
      <c r="H80" s="1729">
        <f t="shared" si="26"/>
        <v>0</v>
      </c>
      <c r="I80" s="330" t="e">
        <f t="shared" si="27"/>
        <v>#DIV/0!</v>
      </c>
      <c r="J80" s="331"/>
    </row>
    <row r="81" spans="1:10" hidden="1">
      <c r="A81" s="1774"/>
      <c r="B81" s="515"/>
      <c r="C81" s="1881" t="s">
        <v>71</v>
      </c>
      <c r="D81" s="1882"/>
      <c r="E81" s="494">
        <f>'7. 강서구어린이집'!D26</f>
        <v>0</v>
      </c>
      <c r="F81" s="494">
        <f>'7. 강서구어린이집'!E26</f>
        <v>0</v>
      </c>
      <c r="G81" s="494">
        <f>'7. 강서구어린이집'!F26</f>
        <v>0</v>
      </c>
      <c r="H81" s="1731">
        <f t="shared" si="26"/>
        <v>0</v>
      </c>
      <c r="I81" s="328" t="e">
        <f t="shared" si="27"/>
        <v>#DIV/0!</v>
      </c>
      <c r="J81" s="495"/>
    </row>
    <row r="82" spans="1:10" hidden="1">
      <c r="A82" s="1774"/>
      <c r="B82" s="1883" t="s">
        <v>61</v>
      </c>
      <c r="C82" s="1930" t="s">
        <v>61</v>
      </c>
      <c r="D82" s="501" t="s">
        <v>145</v>
      </c>
      <c r="E82" s="502">
        <f>'7. 강서구어린이집'!D27</f>
        <v>0</v>
      </c>
      <c r="F82" s="502">
        <f>'7. 강서구어린이집'!E27</f>
        <v>0</v>
      </c>
      <c r="G82" s="502">
        <f>'7. 강서구어린이집'!F27</f>
        <v>0</v>
      </c>
      <c r="H82" s="1732">
        <f t="shared" si="26"/>
        <v>0</v>
      </c>
      <c r="I82" s="503" t="e">
        <f t="shared" si="27"/>
        <v>#DIV/0!</v>
      </c>
      <c r="J82" s="504"/>
    </row>
    <row r="83" spans="1:10" hidden="1">
      <c r="A83" s="1774"/>
      <c r="B83" s="1884"/>
      <c r="C83" s="1929"/>
      <c r="D83" s="186" t="s">
        <v>171</v>
      </c>
      <c r="E83" s="135">
        <f>'7. 강서구어린이집'!D28</f>
        <v>0</v>
      </c>
      <c r="F83" s="135">
        <f>'7. 강서구어린이집'!E28</f>
        <v>0</v>
      </c>
      <c r="G83" s="135">
        <f>'7. 강서구어린이집'!F28</f>
        <v>0</v>
      </c>
      <c r="H83" s="1730">
        <f t="shared" si="26"/>
        <v>0</v>
      </c>
      <c r="I83" s="330" t="e">
        <f t="shared" si="27"/>
        <v>#DIV/0!</v>
      </c>
      <c r="J83" s="74"/>
    </row>
    <row r="84" spans="1:10" hidden="1">
      <c r="A84" s="1774"/>
      <c r="B84" s="1885"/>
      <c r="C84" s="1886" t="s">
        <v>71</v>
      </c>
      <c r="D84" s="1887"/>
      <c r="E84" s="494">
        <f>SUM(E82:E83)</f>
        <v>0</v>
      </c>
      <c r="F84" s="494">
        <f t="shared" ref="F84:G84" si="31">SUM(F82:F83)</f>
        <v>0</v>
      </c>
      <c r="G84" s="494">
        <f t="shared" si="31"/>
        <v>0</v>
      </c>
      <c r="H84" s="1731">
        <f t="shared" si="26"/>
        <v>0</v>
      </c>
      <c r="I84" s="499" t="e">
        <f t="shared" si="27"/>
        <v>#DIV/0!</v>
      </c>
      <c r="J84" s="495"/>
    </row>
    <row r="85" spans="1:10" hidden="1">
      <c r="A85" s="1774"/>
      <c r="B85" s="1925" t="s">
        <v>159</v>
      </c>
      <c r="C85" s="1931" t="s">
        <v>159</v>
      </c>
      <c r="D85" s="329" t="s">
        <v>242</v>
      </c>
      <c r="E85" s="135">
        <f>'7. 강서구어린이집'!D30</f>
        <v>0</v>
      </c>
      <c r="F85" s="135">
        <f>'7. 강서구어린이집'!E30</f>
        <v>0</v>
      </c>
      <c r="G85" s="135">
        <f>'7. 강서구어린이집'!F30</f>
        <v>0</v>
      </c>
      <c r="H85" s="1729">
        <f t="shared" si="26"/>
        <v>0</v>
      </c>
      <c r="I85" s="330" t="e">
        <f t="shared" si="27"/>
        <v>#DIV/0!</v>
      </c>
      <c r="J85" s="331"/>
    </row>
    <row r="86" spans="1:10" hidden="1">
      <c r="A86" s="1774"/>
      <c r="B86" s="1926"/>
      <c r="C86" s="1929"/>
      <c r="D86" s="186" t="s">
        <v>105</v>
      </c>
      <c r="E86" s="135">
        <f>'7. 강서구어린이집'!D31</f>
        <v>0</v>
      </c>
      <c r="F86" s="135">
        <f>'7. 강서구어린이집'!E31</f>
        <v>0</v>
      </c>
      <c r="G86" s="135">
        <f>'7. 강서구어린이집'!F31</f>
        <v>0</v>
      </c>
      <c r="H86" s="1730">
        <f t="shared" si="26"/>
        <v>0</v>
      </c>
      <c r="I86" s="330" t="e">
        <f t="shared" si="27"/>
        <v>#DIV/0!</v>
      </c>
      <c r="J86" s="74"/>
    </row>
    <row r="87" spans="1:10" hidden="1">
      <c r="A87" s="1774"/>
      <c r="B87" s="490"/>
      <c r="C87" s="1888" t="s">
        <v>71</v>
      </c>
      <c r="D87" s="1888"/>
      <c r="E87" s="491">
        <f>SUM(E85:E86)</f>
        <v>0</v>
      </c>
      <c r="F87" s="491">
        <f t="shared" ref="F87:G87" si="32">SUM(F85:F86)</f>
        <v>0</v>
      </c>
      <c r="G87" s="491">
        <f t="shared" si="32"/>
        <v>0</v>
      </c>
      <c r="H87" s="1733">
        <f>SUM(H85:H86)</f>
        <v>0</v>
      </c>
      <c r="I87" s="330" t="e">
        <f t="shared" si="27"/>
        <v>#DIV/0!</v>
      </c>
      <c r="J87" s="492"/>
    </row>
    <row r="88" spans="1:10" ht="17.5" hidden="1">
      <c r="A88" s="1775"/>
      <c r="B88" s="1920" t="s">
        <v>76</v>
      </c>
      <c r="C88" s="1920"/>
      <c r="D88" s="1920"/>
      <c r="E88" s="231">
        <f>SUM(E32,E34,E39,E42,E45,E49,E52,E57,E60)</f>
        <v>7066161559</v>
      </c>
      <c r="F88" s="231">
        <f t="shared" ref="F88:G88" si="33">SUM(F32,F34,F39,F42,F45,F49,F52,F57,F60)</f>
        <v>5582558493</v>
      </c>
      <c r="G88" s="231">
        <f t="shared" si="33"/>
        <v>5838561559</v>
      </c>
      <c r="H88" s="1734">
        <f>G88-E88</f>
        <v>-1227600000</v>
      </c>
      <c r="I88" s="489">
        <f t="shared" si="27"/>
        <v>-0.17372939887518357</v>
      </c>
      <c r="J88" s="232"/>
    </row>
    <row r="89" spans="1:10" ht="28.15" customHeight="1" thickBot="1">
      <c r="A89" s="235" t="s">
        <v>72</v>
      </c>
      <c r="B89" s="404" t="s">
        <v>234</v>
      </c>
      <c r="C89" s="235"/>
      <c r="D89" s="235"/>
      <c r="E89" s="235"/>
      <c r="F89" s="235"/>
      <c r="G89" s="235"/>
      <c r="H89" s="1735"/>
      <c r="I89" s="235"/>
      <c r="J89" s="236" t="s">
        <v>21</v>
      </c>
    </row>
    <row r="90" spans="1:10" ht="17.5" customHeight="1">
      <c r="A90" s="1771" t="s">
        <v>66</v>
      </c>
      <c r="B90" s="1860" t="s">
        <v>156</v>
      </c>
      <c r="C90" s="1861"/>
      <c r="D90" s="1861"/>
      <c r="E90" s="1799" t="s">
        <v>283</v>
      </c>
      <c r="F90" s="1799" t="s">
        <v>311</v>
      </c>
      <c r="G90" s="1799" t="s">
        <v>39</v>
      </c>
      <c r="H90" s="1801" t="s">
        <v>108</v>
      </c>
      <c r="I90" s="1858" t="s">
        <v>186</v>
      </c>
      <c r="J90" s="1858" t="s">
        <v>146</v>
      </c>
    </row>
    <row r="91" spans="1:10" ht="18" customHeight="1">
      <c r="A91" s="1772"/>
      <c r="B91" s="336" t="s">
        <v>78</v>
      </c>
      <c r="C91" s="337" t="s">
        <v>88</v>
      </c>
      <c r="D91" s="337" t="s">
        <v>89</v>
      </c>
      <c r="E91" s="1800"/>
      <c r="F91" s="1800"/>
      <c r="G91" s="1800"/>
      <c r="H91" s="1802"/>
      <c r="I91" s="1859"/>
      <c r="J91" s="1859"/>
    </row>
    <row r="92" spans="1:10" ht="16.5" customHeight="1">
      <c r="A92" s="1876" t="s">
        <v>116</v>
      </c>
      <c r="B92" s="1862" t="s">
        <v>93</v>
      </c>
      <c r="C92" s="1864" t="s">
        <v>62</v>
      </c>
      <c r="D92" s="226" t="s">
        <v>91</v>
      </c>
      <c r="E92" s="220">
        <f>'1. 본부사무국'!D31+'2.서울지부'!D28+'3.부산지부'!D28</f>
        <v>95455000</v>
      </c>
      <c r="F92" s="220">
        <f>'1. 본부사무국'!E31+'2.서울지부'!E28+'3.부산지부'!E28</f>
        <v>44247690</v>
      </c>
      <c r="G92" s="220">
        <f>'1. 본부사무국'!F31+'2.서울지부'!F28+'3.부산지부'!F28</f>
        <v>51179570</v>
      </c>
      <c r="H92" s="1688">
        <f>G92-E92</f>
        <v>-44275430</v>
      </c>
      <c r="I92" s="318">
        <f>H92/E92*100%</f>
        <v>-0.46383562935414591</v>
      </c>
      <c r="J92" s="564"/>
    </row>
    <row r="93" spans="1:10">
      <c r="A93" s="1876"/>
      <c r="B93" s="1862"/>
      <c r="C93" s="1865"/>
      <c r="D93" s="223" t="s">
        <v>158</v>
      </c>
      <c r="E93" s="233">
        <f>'1. 본부사무국'!D32+'2.서울지부'!D29+'3.부산지부'!D29</f>
        <v>6168229</v>
      </c>
      <c r="F93" s="233">
        <f>'1. 본부사무국'!E32+'2.서울지부'!E29+'3.부산지부'!E29</f>
        <v>5911569</v>
      </c>
      <c r="G93" s="233">
        <f>'1. 본부사무국'!F32+'2.서울지부'!F29+'3.부산지부'!F29</f>
        <v>6161569</v>
      </c>
      <c r="H93" s="1673">
        <f t="shared" ref="H93:H117" si="34">G93-E93</f>
        <v>-6660</v>
      </c>
      <c r="I93" s="317">
        <f t="shared" ref="I93:I117" si="35">H93/E93*100%</f>
        <v>-1.079726449844842E-3</v>
      </c>
      <c r="J93" s="332"/>
    </row>
    <row r="94" spans="1:10">
      <c r="A94" s="1876"/>
      <c r="B94" s="1862"/>
      <c r="C94" s="1865"/>
      <c r="D94" s="223" t="s">
        <v>181</v>
      </c>
      <c r="E94" s="233">
        <f>'1. 본부사무국'!D33+'2.서울지부'!D30+'3.부산지부'!D30</f>
        <v>9436270</v>
      </c>
      <c r="F94" s="233">
        <f>'1. 본부사무국'!E33+'2.서울지부'!E30+'3.부산지부'!E30</f>
        <v>4472800</v>
      </c>
      <c r="G94" s="233">
        <f>'1. 본부사무국'!F33+'2.서울지부'!F30+'3.부산지부'!F30</f>
        <v>5272680</v>
      </c>
      <c r="H94" s="1673">
        <f t="shared" si="34"/>
        <v>-4163590</v>
      </c>
      <c r="I94" s="317">
        <f t="shared" si="35"/>
        <v>-0.44123260567999856</v>
      </c>
      <c r="J94" s="333"/>
    </row>
    <row r="95" spans="1:10">
      <c r="A95" s="1876"/>
      <c r="B95" s="1862"/>
      <c r="C95" s="1865"/>
      <c r="D95" s="223" t="s">
        <v>176</v>
      </c>
      <c r="E95" s="585">
        <f>'1. 본부사무국'!D34+'2.서울지부'!D31+'3.부산지부'!D31</f>
        <v>1320000</v>
      </c>
      <c r="F95" s="585">
        <f>'1. 본부사무국'!E34+'2.서울지부'!E31+'3.부산지부'!E31</f>
        <v>990000</v>
      </c>
      <c r="G95" s="585">
        <f>'1. 본부사무국'!F34+'2.서울지부'!F31+'3.부산지부'!F31</f>
        <v>1190000</v>
      </c>
      <c r="H95" s="1673">
        <f t="shared" si="34"/>
        <v>-130000</v>
      </c>
      <c r="I95" s="317">
        <f t="shared" si="35"/>
        <v>-9.8484848484848481E-2</v>
      </c>
      <c r="J95" s="334"/>
    </row>
    <row r="96" spans="1:10" ht="17.5" thickBot="1">
      <c r="A96" s="1876"/>
      <c r="B96" s="1862"/>
      <c r="C96" s="1866"/>
      <c r="D96" s="227" t="s">
        <v>71</v>
      </c>
      <c r="E96" s="69">
        <f>SUM(E92:E95)</f>
        <v>112379499</v>
      </c>
      <c r="F96" s="69">
        <f t="shared" ref="F96:G96" si="36">SUM(F92:F95)</f>
        <v>55622059</v>
      </c>
      <c r="G96" s="69">
        <f t="shared" si="36"/>
        <v>63803819</v>
      </c>
      <c r="H96" s="1676">
        <f t="shared" si="34"/>
        <v>-48575680</v>
      </c>
      <c r="I96" s="567">
        <f t="shared" si="35"/>
        <v>-0.43224681042580548</v>
      </c>
      <c r="J96" s="274"/>
    </row>
    <row r="97" spans="1:10">
      <c r="A97" s="1876"/>
      <c r="B97" s="1862"/>
      <c r="C97" s="1864" t="s">
        <v>193</v>
      </c>
      <c r="D97" s="226" t="s">
        <v>148</v>
      </c>
      <c r="E97" s="284">
        <f>'1. 본부사무국'!D36+'2.서울지부'!D33+'3.부산지부'!D33</f>
        <v>550000</v>
      </c>
      <c r="F97" s="284">
        <f>'1. 본부사무국'!E36+'2.서울지부'!E33+'3.부산지부'!E33</f>
        <v>562300</v>
      </c>
      <c r="G97" s="284">
        <f>'1. 본부사무국'!F36+'2.서울지부'!F33+'3.부산지부'!F33</f>
        <v>1000000</v>
      </c>
      <c r="H97" s="1688">
        <f t="shared" si="34"/>
        <v>450000</v>
      </c>
      <c r="I97" s="318">
        <f t="shared" si="35"/>
        <v>0.81818181818181823</v>
      </c>
      <c r="J97" s="335"/>
    </row>
    <row r="98" spans="1:10">
      <c r="A98" s="1876"/>
      <c r="B98" s="1862"/>
      <c r="C98" s="1865"/>
      <c r="D98" s="223" t="s">
        <v>83</v>
      </c>
      <c r="E98" s="571">
        <f>'1. 본부사무국'!D37+'2.서울지부'!D34+'3.부산지부'!D34</f>
        <v>700000</v>
      </c>
      <c r="F98" s="571">
        <f>'1. 본부사무국'!E37+'2.서울지부'!E34+'3.부산지부'!E34</f>
        <v>536600</v>
      </c>
      <c r="G98" s="571">
        <f>'1. 본부사무국'!F37+'2.서울지부'!F34+'3.부산지부'!F34</f>
        <v>800000</v>
      </c>
      <c r="H98" s="1673">
        <f t="shared" si="34"/>
        <v>100000</v>
      </c>
      <c r="I98" s="317">
        <f t="shared" si="35"/>
        <v>0.14285714285714285</v>
      </c>
      <c r="J98" s="333"/>
    </row>
    <row r="99" spans="1:10" ht="17.5" thickBot="1">
      <c r="A99" s="1876"/>
      <c r="B99" s="1862"/>
      <c r="C99" s="1866"/>
      <c r="D99" s="227" t="s">
        <v>71</v>
      </c>
      <c r="E99" s="69">
        <f>SUM(E97:E98)</f>
        <v>1250000</v>
      </c>
      <c r="F99" s="69">
        <f t="shared" ref="F99:G99" si="37">SUM(F97:F98)</f>
        <v>1098900</v>
      </c>
      <c r="G99" s="69">
        <f t="shared" si="37"/>
        <v>1800000</v>
      </c>
      <c r="H99" s="1676">
        <f t="shared" si="34"/>
        <v>550000</v>
      </c>
      <c r="I99" s="567">
        <f t="shared" si="35"/>
        <v>0.44</v>
      </c>
      <c r="J99" s="70"/>
    </row>
    <row r="100" spans="1:10">
      <c r="A100" s="1876"/>
      <c r="B100" s="1862"/>
      <c r="C100" s="1864" t="s">
        <v>77</v>
      </c>
      <c r="D100" s="226" t="s">
        <v>60</v>
      </c>
      <c r="E100" s="284">
        <f>'1. 본부사무국'!D39+'2.서울지부'!D36+'3.부산지부'!D36</f>
        <v>150000</v>
      </c>
      <c r="F100" s="284">
        <f>'1. 본부사무국'!E39+'2.서울지부'!E36+'3.부산지부'!E36</f>
        <v>11100</v>
      </c>
      <c r="G100" s="284">
        <f>'1. 본부사무국'!F39+'2.서울지부'!F36+'3.부산지부'!F36</f>
        <v>100000</v>
      </c>
      <c r="H100" s="1688">
        <f t="shared" si="34"/>
        <v>-50000</v>
      </c>
      <c r="I100" s="318">
        <f t="shared" si="35"/>
        <v>-0.33333333333333331</v>
      </c>
      <c r="J100" s="570"/>
    </row>
    <row r="101" spans="1:10">
      <c r="A101" s="1876"/>
      <c r="B101" s="1862"/>
      <c r="C101" s="1865"/>
      <c r="D101" s="223" t="s">
        <v>173</v>
      </c>
      <c r="E101" s="265">
        <f>'1. 본부사무국'!D40+'2.서울지부'!D37+'3.부산지부'!D37</f>
        <v>4200000</v>
      </c>
      <c r="F101" s="265">
        <f>'1. 본부사무국'!E40+'2.서울지부'!E37+'3.부산지부'!E37</f>
        <v>3792420</v>
      </c>
      <c r="G101" s="265">
        <f>'1. 본부사무국'!F40+'2.서울지부'!F37+'3.부산지부'!F37</f>
        <v>4200000</v>
      </c>
      <c r="H101" s="1673">
        <f t="shared" si="34"/>
        <v>0</v>
      </c>
      <c r="I101" s="317">
        <f t="shared" si="35"/>
        <v>0</v>
      </c>
      <c r="J101" s="333"/>
    </row>
    <row r="102" spans="1:10">
      <c r="A102" s="1876"/>
      <c r="B102" s="1862"/>
      <c r="C102" s="1865"/>
      <c r="D102" s="223" t="s">
        <v>161</v>
      </c>
      <c r="E102" s="265">
        <f>'1. 본부사무국'!D41+'2.서울지부'!D38+'3.부산지부'!D38</f>
        <v>300000</v>
      </c>
      <c r="F102" s="265">
        <f>'1. 본부사무국'!E41+'2.서울지부'!E38+'3.부산지부'!E38</f>
        <v>200603</v>
      </c>
      <c r="G102" s="265">
        <f>'1. 본부사무국'!F41+'2.서울지부'!F38+'3.부산지부'!F38</f>
        <v>1750000</v>
      </c>
      <c r="H102" s="1673">
        <f t="shared" si="34"/>
        <v>1450000</v>
      </c>
      <c r="I102" s="317">
        <f t="shared" si="35"/>
        <v>4.833333333333333</v>
      </c>
      <c r="J102" s="333"/>
    </row>
    <row r="103" spans="1:10">
      <c r="A103" s="1876"/>
      <c r="B103" s="1862"/>
      <c r="C103" s="1865"/>
      <c r="D103" s="223" t="s">
        <v>168</v>
      </c>
      <c r="E103" s="265">
        <f>'1. 본부사무국'!D42+'2.서울지부'!D39+'3.부산지부'!D39</f>
        <v>47700000</v>
      </c>
      <c r="F103" s="265">
        <f>'1. 본부사무국'!E42+'2.서울지부'!E39+'3.부산지부'!E39</f>
        <v>32927258</v>
      </c>
      <c r="G103" s="265">
        <f>'1. 본부사무국'!F42+'2.서울지부'!F39+'3.부산지부'!F39</f>
        <v>35250000</v>
      </c>
      <c r="H103" s="1673">
        <f t="shared" si="34"/>
        <v>-12450000</v>
      </c>
      <c r="I103" s="317">
        <f t="shared" si="35"/>
        <v>-0.2610062893081761</v>
      </c>
      <c r="J103" s="333"/>
    </row>
    <row r="104" spans="1:10">
      <c r="A104" s="1876"/>
      <c r="B104" s="1862"/>
      <c r="C104" s="1865"/>
      <c r="D104" s="223" t="s">
        <v>151</v>
      </c>
      <c r="E104" s="571">
        <f>'1. 본부사무국'!D43+'2.서울지부'!D40+'3.부산지부'!D40</f>
        <v>100000</v>
      </c>
      <c r="F104" s="571">
        <f>'1. 본부사무국'!E43+'2.서울지부'!E40+'3.부산지부'!E40</f>
        <v>40000000</v>
      </c>
      <c r="G104" s="571">
        <f>'1. 본부사무국'!F43+'2.서울지부'!F40+'3.부산지부'!F40</f>
        <v>40900000</v>
      </c>
      <c r="H104" s="1673">
        <f t="shared" si="34"/>
        <v>40800000</v>
      </c>
      <c r="I104" s="317">
        <f t="shared" si="35"/>
        <v>408</v>
      </c>
      <c r="J104" s="334"/>
    </row>
    <row r="105" spans="1:10" ht="17.5" thickBot="1">
      <c r="A105" s="1876"/>
      <c r="B105" s="1862"/>
      <c r="C105" s="1866"/>
      <c r="D105" s="227" t="s">
        <v>71</v>
      </c>
      <c r="E105" s="69">
        <f>SUM(E100:E104)</f>
        <v>52450000</v>
      </c>
      <c r="F105" s="69">
        <f t="shared" ref="F105:G105" si="38">SUM(F100:F104)</f>
        <v>76931381</v>
      </c>
      <c r="G105" s="69">
        <f t="shared" si="38"/>
        <v>82200000</v>
      </c>
      <c r="H105" s="1676">
        <f t="shared" si="34"/>
        <v>29750000</v>
      </c>
      <c r="I105" s="567">
        <f t="shared" si="35"/>
        <v>0.56720686367969497</v>
      </c>
      <c r="J105" s="70"/>
    </row>
    <row r="106" spans="1:10" ht="17.5" thickBot="1">
      <c r="A106" s="1876"/>
      <c r="B106" s="1863"/>
      <c r="C106" s="1875" t="s">
        <v>71</v>
      </c>
      <c r="D106" s="1875"/>
      <c r="E106" s="568">
        <f>SUM(E96,E99,E105)</f>
        <v>166079499</v>
      </c>
      <c r="F106" s="568">
        <f>SUM(F96,F99,F105)</f>
        <v>133652340</v>
      </c>
      <c r="G106" s="568">
        <f>SUM(G96,G99,G105)</f>
        <v>147803819</v>
      </c>
      <c r="H106" s="1702">
        <f t="shared" si="34"/>
        <v>-18275680</v>
      </c>
      <c r="I106" s="582">
        <f t="shared" si="35"/>
        <v>-0.11004175777288441</v>
      </c>
      <c r="J106" s="569"/>
    </row>
    <row r="107" spans="1:10" ht="17.5" thickBot="1">
      <c r="A107" s="1876"/>
      <c r="B107" s="1873" t="s">
        <v>535</v>
      </c>
      <c r="C107" s="970" t="s">
        <v>536</v>
      </c>
      <c r="D107" s="970" t="s">
        <v>536</v>
      </c>
      <c r="E107" s="98">
        <v>235000000</v>
      </c>
      <c r="F107" s="98">
        <v>0</v>
      </c>
      <c r="G107" s="98">
        <v>0</v>
      </c>
      <c r="H107" s="1701">
        <v>-235000000</v>
      </c>
      <c r="I107" s="550">
        <v>-1</v>
      </c>
      <c r="J107" s="1380"/>
    </row>
    <row r="108" spans="1:10" ht="17.5" thickBot="1">
      <c r="A108" s="1876"/>
      <c r="B108" s="1874"/>
      <c r="C108" s="1875" t="s">
        <v>71</v>
      </c>
      <c r="D108" s="1875"/>
      <c r="E108" s="1378">
        <f>E107</f>
        <v>235000000</v>
      </c>
      <c r="F108" s="1378">
        <f t="shared" ref="F108:H108" si="39">F107</f>
        <v>0</v>
      </c>
      <c r="G108" s="1378">
        <f t="shared" si="39"/>
        <v>0</v>
      </c>
      <c r="H108" s="1736">
        <f t="shared" si="39"/>
        <v>-235000000</v>
      </c>
      <c r="I108" s="582">
        <v>-1</v>
      </c>
      <c r="J108" s="1379"/>
    </row>
    <row r="109" spans="1:10">
      <c r="A109" s="1876"/>
      <c r="B109" s="1867" t="s">
        <v>75</v>
      </c>
      <c r="C109" s="1864" t="s">
        <v>75</v>
      </c>
      <c r="D109" s="964" t="s">
        <v>306</v>
      </c>
      <c r="E109" s="284">
        <f>'1. 본부사무국'!D48</f>
        <v>0</v>
      </c>
      <c r="F109" s="284">
        <f>'1. 본부사무국'!E48</f>
        <v>0</v>
      </c>
      <c r="G109" s="284">
        <f>'1. 본부사무국'!F48</f>
        <v>10000000</v>
      </c>
      <c r="H109" s="1688">
        <f t="shared" si="34"/>
        <v>10000000</v>
      </c>
      <c r="I109" s="317"/>
      <c r="J109" s="335"/>
    </row>
    <row r="110" spans="1:10">
      <c r="A110" s="1876"/>
      <c r="B110" s="1862"/>
      <c r="C110" s="1865"/>
      <c r="D110" s="1212" t="s">
        <v>513</v>
      </c>
      <c r="E110" s="571">
        <f>'2.서울지부'!D43</f>
        <v>6500000</v>
      </c>
      <c r="F110" s="571">
        <f>'2.서울지부'!E43</f>
        <v>0</v>
      </c>
      <c r="G110" s="571">
        <f>'2.서울지부'!F43</f>
        <v>3000000</v>
      </c>
      <c r="H110" s="1681">
        <f t="shared" si="34"/>
        <v>-3500000</v>
      </c>
      <c r="I110" s="317">
        <f t="shared" si="35"/>
        <v>-0.53846153846153844</v>
      </c>
      <c r="J110" s="333"/>
    </row>
    <row r="111" spans="1:10" ht="17.5" thickBot="1">
      <c r="A111" s="1876"/>
      <c r="B111" s="1863"/>
      <c r="C111" s="1878" t="s">
        <v>71</v>
      </c>
      <c r="D111" s="1878"/>
      <c r="E111" s="69">
        <f>SUM(E109:E110)</f>
        <v>6500000</v>
      </c>
      <c r="F111" s="69">
        <f>SUM(F109:F110)</f>
        <v>0</v>
      </c>
      <c r="G111" s="69">
        <f>SUM(G109:G110)</f>
        <v>13000000</v>
      </c>
      <c r="H111" s="1686">
        <f t="shared" si="34"/>
        <v>6500000</v>
      </c>
      <c r="I111" s="565">
        <f t="shared" si="35"/>
        <v>1</v>
      </c>
      <c r="J111" s="274"/>
    </row>
    <row r="112" spans="1:10">
      <c r="A112" s="1876"/>
      <c r="B112" s="1862" t="s">
        <v>80</v>
      </c>
      <c r="C112" s="222" t="s">
        <v>80</v>
      </c>
      <c r="D112" s="222" t="s">
        <v>80</v>
      </c>
      <c r="E112" s="571">
        <f>'1. 본부사무국'!D50+'2.서울지부'!D46+'3.부산지부'!D46</f>
        <v>1200000</v>
      </c>
      <c r="F112" s="571">
        <f>'1. 본부사무국'!E50+'2.서울지부'!E46+'3.부산지부'!E46</f>
        <v>323098</v>
      </c>
      <c r="G112" s="571">
        <f>'1. 본부사무국'!F50+'2.서울지부'!F46+'3.부산지부'!F46</f>
        <v>1625000</v>
      </c>
      <c r="H112" s="1681">
        <f t="shared" si="34"/>
        <v>425000</v>
      </c>
      <c r="I112" s="317">
        <f t="shared" si="35"/>
        <v>0.35416666666666669</v>
      </c>
      <c r="J112" s="572"/>
    </row>
    <row r="113" spans="1:10">
      <c r="A113" s="1876"/>
      <c r="B113" s="1863"/>
      <c r="C113" s="1878" t="s">
        <v>71</v>
      </c>
      <c r="D113" s="1878"/>
      <c r="E113" s="69">
        <f>E112</f>
        <v>1200000</v>
      </c>
      <c r="F113" s="69">
        <f t="shared" ref="F113:G113" si="40">F112</f>
        <v>323098</v>
      </c>
      <c r="G113" s="69">
        <f t="shared" si="40"/>
        <v>1625000</v>
      </c>
      <c r="H113" s="1686">
        <f t="shared" si="34"/>
        <v>425000</v>
      </c>
      <c r="I113" s="317">
        <f t="shared" si="35"/>
        <v>0.35416666666666669</v>
      </c>
      <c r="J113" s="274"/>
    </row>
    <row r="114" spans="1:10">
      <c r="A114" s="1876"/>
      <c r="B114" s="1867" t="s">
        <v>79</v>
      </c>
      <c r="C114" s="226" t="s">
        <v>131</v>
      </c>
      <c r="D114" s="226" t="s">
        <v>79</v>
      </c>
      <c r="E114" s="56">
        <f>'1. 본부사무국'!D52+'2.서울지부'!D48+'3.부산지부'!D48</f>
        <v>100000</v>
      </c>
      <c r="F114" s="220">
        <f>'1. 본부사무국'!E52+'2.서울지부'!E48+'3.부산지부'!E48</f>
        <v>0</v>
      </c>
      <c r="G114" s="220">
        <f>'1. 본부사무국'!F52+'2.서울지부'!F48+'3.부산지부'!F48</f>
        <v>100000</v>
      </c>
      <c r="H114" s="1688">
        <f t="shared" si="34"/>
        <v>0</v>
      </c>
      <c r="I114" s="317">
        <f t="shared" si="35"/>
        <v>0</v>
      </c>
      <c r="J114" s="58"/>
    </row>
    <row r="115" spans="1:10">
      <c r="A115" s="1876"/>
      <c r="B115" s="1863"/>
      <c r="C115" s="227" t="s">
        <v>71</v>
      </c>
      <c r="D115" s="227"/>
      <c r="E115" s="69">
        <f>E114</f>
        <v>100000</v>
      </c>
      <c r="F115" s="69">
        <f t="shared" ref="F115:G115" si="41">F114</f>
        <v>0</v>
      </c>
      <c r="G115" s="69">
        <f t="shared" si="41"/>
        <v>100000</v>
      </c>
      <c r="H115" s="1686">
        <f t="shared" si="34"/>
        <v>0</v>
      </c>
      <c r="I115" s="691">
        <f t="shared" si="35"/>
        <v>0</v>
      </c>
      <c r="J115" s="70"/>
    </row>
    <row r="116" spans="1:10" ht="34">
      <c r="A116" s="1876"/>
      <c r="B116" s="1867" t="s">
        <v>165</v>
      </c>
      <c r="C116" s="226" t="s">
        <v>165</v>
      </c>
      <c r="D116" s="226" t="s">
        <v>282</v>
      </c>
      <c r="E116" s="56">
        <f>'1. 본부사무국'!D54+'2.서울지부'!D50+'3.부산지부'!D50</f>
        <v>5456498</v>
      </c>
      <c r="F116" s="220">
        <f>'1. 본부사무국'!E54+'2.서울지부'!E50+'3.부산지부'!E50</f>
        <v>71043096</v>
      </c>
      <c r="G116" s="220">
        <f>'1. 본부사무국'!F54+'2.서울지부'!F50+'3.부산지부'!F50</f>
        <v>1162360151</v>
      </c>
      <c r="H116" s="1688">
        <f t="shared" si="34"/>
        <v>1156903653</v>
      </c>
      <c r="I116" s="317">
        <f t="shared" si="35"/>
        <v>212.02310584554417</v>
      </c>
      <c r="J116" s="58"/>
    </row>
    <row r="117" spans="1:10">
      <c r="A117" s="1876"/>
      <c r="B117" s="1863"/>
      <c r="C117" s="227" t="s">
        <v>71</v>
      </c>
      <c r="D117" s="227"/>
      <c r="E117" s="69">
        <f>E116</f>
        <v>5456498</v>
      </c>
      <c r="F117" s="69">
        <f t="shared" ref="F117:G117" si="42">F116</f>
        <v>71043096</v>
      </c>
      <c r="G117" s="69">
        <f t="shared" si="42"/>
        <v>1162360151</v>
      </c>
      <c r="H117" s="1686">
        <f t="shared" si="34"/>
        <v>1156903653</v>
      </c>
      <c r="I117" s="691">
        <f t="shared" si="35"/>
        <v>212.02310584554417</v>
      </c>
      <c r="J117" s="70"/>
    </row>
    <row r="118" spans="1:10">
      <c r="A118" s="1877"/>
      <c r="B118" s="1871" t="s">
        <v>76</v>
      </c>
      <c r="C118" s="1872"/>
      <c r="D118" s="1872"/>
      <c r="E118" s="315">
        <f>SUM(E106,E111,E113,E115,E117,E108)</f>
        <v>414335997</v>
      </c>
      <c r="F118" s="315">
        <f t="shared" ref="F118:G118" si="43">SUM(F106,F111,F113,F115,F117,F108)</f>
        <v>205018534</v>
      </c>
      <c r="G118" s="315">
        <f t="shared" si="43"/>
        <v>1324888970</v>
      </c>
      <c r="H118" s="1737">
        <f>G118-E118</f>
        <v>910552973</v>
      </c>
      <c r="I118" s="573">
        <f>H118/E118*100%</f>
        <v>2.1976197568950302</v>
      </c>
      <c r="J118" s="316"/>
    </row>
    <row r="119" spans="1:10">
      <c r="B119" s="42"/>
      <c r="C119" s="43"/>
      <c r="D119" s="43"/>
      <c r="E119" s="43"/>
      <c r="F119" s="43"/>
      <c r="G119" s="43"/>
      <c r="H119" s="1640"/>
      <c r="I119" s="66"/>
      <c r="J119" s="43"/>
    </row>
    <row r="120" spans="1:10" ht="20.5">
      <c r="A120" s="338"/>
      <c r="B120" s="1868" t="s">
        <v>256</v>
      </c>
      <c r="C120" s="1869"/>
      <c r="D120" s="1869"/>
      <c r="E120" s="1869"/>
      <c r="F120" s="1869"/>
      <c r="G120" s="1869"/>
      <c r="H120" s="1869"/>
      <c r="I120" s="1869"/>
      <c r="J120" s="1870"/>
    </row>
    <row r="121" spans="1:10" ht="17.5" customHeight="1">
      <c r="A121" s="1821" t="s">
        <v>66</v>
      </c>
      <c r="B121" s="1841" t="s">
        <v>82</v>
      </c>
      <c r="C121" s="1842"/>
      <c r="D121" s="1842"/>
      <c r="E121" s="1799" t="s">
        <v>283</v>
      </c>
      <c r="F121" s="1799" t="s">
        <v>359</v>
      </c>
      <c r="G121" s="1799" t="s">
        <v>39</v>
      </c>
      <c r="H121" s="1801" t="s">
        <v>108</v>
      </c>
      <c r="I121" s="1803" t="s">
        <v>186</v>
      </c>
      <c r="J121" s="1805" t="s">
        <v>146</v>
      </c>
    </row>
    <row r="122" spans="1:10" ht="18" customHeight="1">
      <c r="A122" s="1822"/>
      <c r="B122" s="92" t="s">
        <v>78</v>
      </c>
      <c r="C122" s="155" t="s">
        <v>88</v>
      </c>
      <c r="D122" s="155" t="s">
        <v>89</v>
      </c>
      <c r="E122" s="1800"/>
      <c r="F122" s="1800"/>
      <c r="G122" s="1800"/>
      <c r="H122" s="1802"/>
      <c r="I122" s="1804"/>
      <c r="J122" s="1806"/>
    </row>
    <row r="123" spans="1:10">
      <c r="A123" s="1823" t="s">
        <v>119</v>
      </c>
      <c r="B123" s="376" t="s">
        <v>93</v>
      </c>
      <c r="C123" s="1853" t="s">
        <v>62</v>
      </c>
      <c r="D123" s="687" t="s">
        <v>91</v>
      </c>
      <c r="E123" s="244">
        <f>'4. 서울Y 봉천종합사회복지관'!D53+'5.은학의집(총괄)'!D53+'6.울산씨밀레'!D53+'7.강서구지역자활센터(장기요양사업)'!D53</f>
        <v>2430578980</v>
      </c>
      <c r="F123" s="244">
        <f>'4. 서울Y 봉천종합사회복지관'!E53+'5.은학의집(총괄)'!E53+'6.울산씨밀레'!E53+'7.강서구지역자활센터(장기요양사업)'!E53</f>
        <v>1518976710</v>
      </c>
      <c r="G123" s="244">
        <f>'4. 서울Y 봉천종합사회복지관'!F53+'5.은학의집(총괄)'!F53+'6.울산씨밀레'!F53+'7.강서구지역자활센터(장기요양사업)'!F53</f>
        <v>1707793090</v>
      </c>
      <c r="H123" s="1738">
        <f>G123-E123</f>
        <v>-722785890</v>
      </c>
      <c r="I123" s="476">
        <f>H123/E123*100%</f>
        <v>-0.29737190025398802</v>
      </c>
      <c r="J123" s="561"/>
    </row>
    <row r="124" spans="1:10">
      <c r="A124" s="1824"/>
      <c r="B124" s="347"/>
      <c r="C124" s="1815"/>
      <c r="D124" s="681" t="s">
        <v>67</v>
      </c>
      <c r="E124" s="244">
        <f>'4. 서울Y 봉천종합사회복지관'!D54+'5.은학의집(총괄)'!D54+'6.울산씨밀레'!D54+'7.강서구지역자활센터(장기요양사업)'!D54</f>
        <v>623324550</v>
      </c>
      <c r="F124" s="244">
        <f>'4. 서울Y 봉천종합사회복지관'!E54+'5.은학의집(총괄)'!E54+'6.울산씨밀레'!E54+'7.강서구지역자활센터(장기요양사업)'!E54</f>
        <v>545175272</v>
      </c>
      <c r="G124" s="244">
        <f>'4. 서울Y 봉천종합사회복지관'!F54+'5.은학의집(총괄)'!F54+'6.울산씨밀레'!F54+'7.강서구지역자활센터(장기요양사업)'!F54</f>
        <v>647396520</v>
      </c>
      <c r="H124" s="1715">
        <f t="shared" ref="H124:H191" si="44">G124-E124</f>
        <v>24071970</v>
      </c>
      <c r="I124" s="151">
        <f t="shared" ref="I124:I191" si="45">H124/E124*100%</f>
        <v>3.861867786211854E-2</v>
      </c>
      <c r="J124" s="46"/>
    </row>
    <row r="125" spans="1:10">
      <c r="A125" s="1824"/>
      <c r="B125" s="347"/>
      <c r="C125" s="1815"/>
      <c r="D125" s="681" t="s">
        <v>212</v>
      </c>
      <c r="E125" s="244">
        <f>'4. 서울Y 봉천종합사회복지관'!D55+'5.은학의집(총괄)'!D55+'6.울산씨밀레'!D55+'7.강서구지역자활센터(장기요양사업)'!D55</f>
        <v>7000000</v>
      </c>
      <c r="F125" s="244">
        <f>'4. 서울Y 봉천종합사회복지관'!E55+'5.은학의집(총괄)'!E55+'6.울산씨밀레'!E55+'7.강서구지역자활센터(장기요양사업)'!E55</f>
        <v>5933020</v>
      </c>
      <c r="G125" s="244">
        <f>'4. 서울Y 봉천종합사회복지관'!F55+'5.은학의집(총괄)'!F55+'6.울산씨밀레'!F55+'7.강서구지역자활센터(장기요양사업)'!F55</f>
        <v>6200000</v>
      </c>
      <c r="H125" s="1715">
        <f t="shared" si="44"/>
        <v>-800000</v>
      </c>
      <c r="I125" s="151">
        <f t="shared" si="45"/>
        <v>-0.11428571428571428</v>
      </c>
      <c r="J125" s="46"/>
    </row>
    <row r="126" spans="1:10">
      <c r="A126" s="1824"/>
      <c r="B126" s="347"/>
      <c r="C126" s="1815"/>
      <c r="D126" s="681" t="s">
        <v>98</v>
      </c>
      <c r="E126" s="244">
        <f>'4. 서울Y 봉천종합사회복지관'!D56+'5.은학의집(총괄)'!D56+'6.울산씨밀레'!D56+'7.강서구지역자활센터(장기요양사업)'!D56</f>
        <v>259218880</v>
      </c>
      <c r="F126" s="244">
        <f>'4. 서울Y 봉천종합사회복지관'!E56+'5.은학의집(총괄)'!E56+'6.울산씨밀레'!E56+'7.강서구지역자활센터(장기요양사업)'!E56</f>
        <v>147136246</v>
      </c>
      <c r="G126" s="244">
        <f>'4. 서울Y 봉천종합사회복지관'!F56+'5.은학의집(총괄)'!F56+'6.울산씨밀레'!F56+'7.강서구지역자활센터(장기요양사업)'!F56</f>
        <v>179097060</v>
      </c>
      <c r="H126" s="1715">
        <f t="shared" si="44"/>
        <v>-80121820</v>
      </c>
      <c r="I126" s="151">
        <f t="shared" si="45"/>
        <v>-0.30908944595393667</v>
      </c>
      <c r="J126" s="46"/>
    </row>
    <row r="127" spans="1:10">
      <c r="A127" s="1824"/>
      <c r="B127" s="347"/>
      <c r="C127" s="1815"/>
      <c r="D127" s="681" t="s">
        <v>180</v>
      </c>
      <c r="E127" s="244">
        <f>'4. 서울Y 봉천종합사회복지관'!D57+'5.은학의집(총괄)'!D57+'6.울산씨밀레'!D57+'7.강서구지역자활센터(장기요양사업)'!D57</f>
        <v>319927780</v>
      </c>
      <c r="F127" s="244">
        <f>'4. 서울Y 봉천종합사회복지관'!E57+'5.은학의집(총괄)'!E57+'6.울산씨밀레'!E57+'7.강서구지역자활센터(장기요양사업)'!E57</f>
        <v>175105100</v>
      </c>
      <c r="G127" s="244">
        <f>'4. 서울Y 봉천종합사회복지관'!F57+'5.은학의집(총괄)'!F57+'6.울산씨밀레'!F57+'7.강서구지역자활센터(장기요양사업)'!F57</f>
        <v>222357120</v>
      </c>
      <c r="H127" s="1715">
        <f t="shared" si="44"/>
        <v>-97570660</v>
      </c>
      <c r="I127" s="151">
        <f t="shared" si="45"/>
        <v>-0.3049771420287416</v>
      </c>
      <c r="J127" s="46"/>
    </row>
    <row r="128" spans="1:10">
      <c r="A128" s="1824"/>
      <c r="B128" s="347"/>
      <c r="C128" s="1815"/>
      <c r="D128" s="348" t="s">
        <v>176</v>
      </c>
      <c r="E128" s="244">
        <f>'4. 서울Y 봉천종합사회복지관'!D58+'5.은학의집(총괄)'!D58+'6.울산씨밀레'!D58+'7.강서구지역자활센터(장기요양사업)'!D58</f>
        <v>83025600</v>
      </c>
      <c r="F128" s="244">
        <f>'4. 서울Y 봉천종합사회복지관'!E58+'5.은학의집(총괄)'!E58+'6.울산씨밀레'!E58+'7.강서구지역자활센터(장기요양사업)'!E58</f>
        <v>77654990</v>
      </c>
      <c r="G128" s="244">
        <f>'4. 서울Y 봉천종합사회복지관'!F58+'5.은학의집(총괄)'!F58+'6.울산씨밀레'!F58+'7.강서구지역자활센터(장기요양사업)'!F58</f>
        <v>86965600</v>
      </c>
      <c r="H128" s="1709">
        <f t="shared" si="44"/>
        <v>3940000</v>
      </c>
      <c r="I128" s="151">
        <f t="shared" si="45"/>
        <v>4.7455242720317592E-2</v>
      </c>
      <c r="J128" s="46"/>
    </row>
    <row r="129" spans="1:10" ht="17.5" thickBot="1">
      <c r="A129" s="1824"/>
      <c r="B129" s="347"/>
      <c r="C129" s="1854"/>
      <c r="D129" s="580" t="s">
        <v>71</v>
      </c>
      <c r="E129" s="558">
        <f>SUM(E123:E128)</f>
        <v>3723075790</v>
      </c>
      <c r="F129" s="627">
        <f t="shared" ref="F129" si="46">SUM(F123:F128)</f>
        <v>2469981338</v>
      </c>
      <c r="G129" s="558">
        <f>SUM(G123:G128)</f>
        <v>2849809390</v>
      </c>
      <c r="H129" s="1716">
        <f t="shared" si="44"/>
        <v>-873266400</v>
      </c>
      <c r="I129" s="559">
        <f t="shared" si="45"/>
        <v>-0.23455509617761502</v>
      </c>
      <c r="J129" s="50"/>
    </row>
    <row r="130" spans="1:10">
      <c r="A130" s="1824"/>
      <c r="B130" s="347"/>
      <c r="C130" s="1853" t="s">
        <v>193</v>
      </c>
      <c r="D130" s="520" t="s">
        <v>148</v>
      </c>
      <c r="E130" s="574">
        <f>'4. 서울Y 봉천종합사회복지관'!D60+'5.은학의집(총괄)'!D60+'6.울산씨밀레'!D60</f>
        <v>14600000</v>
      </c>
      <c r="F130" s="574">
        <f>'4. 서울Y 봉천종합사회복지관'!E60+'5.은학의집(총괄)'!E60+'6.울산씨밀레'!E60</f>
        <v>4378890</v>
      </c>
      <c r="G130" s="80">
        <f>'4. 서울Y 봉천종합사회복지관'!F60+'5.은학의집(총괄)'!F60+'6.울산씨밀레'!F60</f>
        <v>7700000</v>
      </c>
      <c r="H130" s="1738">
        <f t="shared" si="44"/>
        <v>-6900000</v>
      </c>
      <c r="I130" s="476">
        <f t="shared" si="45"/>
        <v>-0.4726027397260274</v>
      </c>
      <c r="J130" s="561"/>
    </row>
    <row r="131" spans="1:10">
      <c r="A131" s="1824"/>
      <c r="B131" s="347"/>
      <c r="C131" s="1815"/>
      <c r="D131" s="720" t="s">
        <v>253</v>
      </c>
      <c r="E131" s="575">
        <f>'4. 서울Y 봉천종합사회복지관'!D61+'5.은학의집(총괄)'!D61+'6.울산씨밀레'!D61</f>
        <v>6000000</v>
      </c>
      <c r="F131" s="575">
        <f>'4. 서울Y 봉천종합사회복지관'!E61+'5.은학의집(총괄)'!E61+'6.울산씨밀레'!E61</f>
        <v>5000000</v>
      </c>
      <c r="G131" s="244">
        <f>'4. 서울Y 봉천종합사회복지관'!F61+'5.은학의집(총괄)'!F61+'6.울산씨밀레'!F61</f>
        <v>6000000</v>
      </c>
      <c r="H131" s="1739">
        <f t="shared" si="44"/>
        <v>0</v>
      </c>
      <c r="I131" s="151">
        <f t="shared" si="45"/>
        <v>0</v>
      </c>
      <c r="J131" s="46"/>
    </row>
    <row r="132" spans="1:10">
      <c r="A132" s="1824"/>
      <c r="B132" s="347"/>
      <c r="C132" s="1815"/>
      <c r="D132" s="348" t="s">
        <v>83</v>
      </c>
      <c r="E132" s="1173">
        <f>'4. 서울Y 봉천종합사회복지관'!D62+'5.은학의집(총괄)'!D62+'6.울산씨밀레'!D62</f>
        <v>43340000</v>
      </c>
      <c r="F132" s="237">
        <f>'4. 서울Y 봉천종합사회복지관'!E62+'5.은학의집(총괄)'!E62+'6.울산씨밀레'!E62</f>
        <v>7216880</v>
      </c>
      <c r="G132" s="53">
        <f>'4. 서울Y 봉천종합사회복지관'!F62+'5.은학의집(총괄)'!F62+'6.울산씨밀레'!F62</f>
        <v>17707000</v>
      </c>
      <c r="H132" s="1740">
        <f t="shared" si="44"/>
        <v>-25633000</v>
      </c>
      <c r="I132" s="151">
        <f t="shared" si="45"/>
        <v>-0.59143977849561602</v>
      </c>
      <c r="J132" s="46"/>
    </row>
    <row r="133" spans="1:10" ht="17.5" thickBot="1">
      <c r="A133" s="1824"/>
      <c r="B133" s="347"/>
      <c r="C133" s="1854"/>
      <c r="D133" s="580" t="s">
        <v>71</v>
      </c>
      <c r="E133" s="558">
        <f>SUM(E130:E132)</f>
        <v>63940000</v>
      </c>
      <c r="F133" s="554">
        <f t="shared" ref="F133:G133" si="47">SUM(F130:F132)</f>
        <v>16595770</v>
      </c>
      <c r="G133" s="1174">
        <f t="shared" si="47"/>
        <v>31407000</v>
      </c>
      <c r="H133" s="1741">
        <f t="shared" si="44"/>
        <v>-32533000</v>
      </c>
      <c r="I133" s="559">
        <f t="shared" si="45"/>
        <v>-0.50880512980919612</v>
      </c>
      <c r="J133" s="50"/>
    </row>
    <row r="134" spans="1:10">
      <c r="A134" s="1824"/>
      <c r="B134" s="347"/>
      <c r="C134" s="1853" t="s">
        <v>77</v>
      </c>
      <c r="D134" s="579" t="s">
        <v>60</v>
      </c>
      <c r="E134" s="77">
        <f>'4. 서울Y 봉천종합사회복지관'!D64+'5.은학의집(총괄)'!D64+'6.울산씨밀레'!D64+'7.강서구지역자활센터(장기요양사업)'!D64</f>
        <v>9800000</v>
      </c>
      <c r="F134" s="77">
        <f>'4. 서울Y 봉천종합사회복지관'!E64+'5.은학의집(총괄)'!E64+'6.울산씨밀레'!E64+'7.강서구지역자활센터(장기요양사업)'!E64</f>
        <v>2225900</v>
      </c>
      <c r="G134" s="77">
        <f>'4. 서울Y 봉천종합사회복지관'!F64+'5.은학의집(총괄)'!F64+'6.울산씨밀레'!F64+'7.강서구지역자활센터(장기요양사업)'!F64</f>
        <v>6160000</v>
      </c>
      <c r="H134" s="1742">
        <f t="shared" si="44"/>
        <v>-3640000</v>
      </c>
      <c r="I134" s="476">
        <f t="shared" si="45"/>
        <v>-0.37142857142857144</v>
      </c>
      <c r="J134" s="561"/>
    </row>
    <row r="135" spans="1:10">
      <c r="A135" s="1824"/>
      <c r="B135" s="347"/>
      <c r="C135" s="1815"/>
      <c r="D135" s="681" t="s">
        <v>97</v>
      </c>
      <c r="E135" s="77">
        <f>'4. 서울Y 봉천종합사회복지관'!D65+'5.은학의집(총괄)'!D65+'6.울산씨밀레'!D65+'7.강서구지역자활센터(장기요양사업)'!D65</f>
        <v>112053670</v>
      </c>
      <c r="F135" s="77">
        <f>'4. 서울Y 봉천종합사회복지관'!E65+'5.은학의집(총괄)'!E65+'6.울산씨밀레'!E65+'7.강서구지역자활센터(장기요양사업)'!E65</f>
        <v>47894188</v>
      </c>
      <c r="G135" s="77">
        <f>'4. 서울Y 봉천종합사회복지관'!F65+'5.은학의집(총괄)'!F65+'6.울산씨밀레'!F65+'7.강서구지역자활센터(장기요양사업)'!F65</f>
        <v>80540670</v>
      </c>
      <c r="H135" s="1743">
        <f t="shared" si="44"/>
        <v>-31513000</v>
      </c>
      <c r="I135" s="1176">
        <f t="shared" si="45"/>
        <v>-0.2812313063909464</v>
      </c>
      <c r="J135" s="46"/>
    </row>
    <row r="136" spans="1:10">
      <c r="A136" s="1824"/>
      <c r="B136" s="347"/>
      <c r="C136" s="1815"/>
      <c r="D136" s="681" t="s">
        <v>161</v>
      </c>
      <c r="E136" s="77">
        <f>'4. 서울Y 봉천종합사회복지관'!D66+'5.은학의집(총괄)'!D66+'6.울산씨밀레'!D66+'7.강서구지역자활센터(장기요양사업)'!D66</f>
        <v>369417870</v>
      </c>
      <c r="F136" s="77">
        <f>'4. 서울Y 봉천종합사회복지관'!E66+'5.은학의집(총괄)'!E66+'6.울산씨밀레'!E66+'7.강서구지역자활센터(장기요양사업)'!E66</f>
        <v>157356526</v>
      </c>
      <c r="G136" s="77">
        <f>'4. 서울Y 봉천종합사회복지관'!F66+'5.은학의집(총괄)'!F66+'6.울산씨밀레'!F66+'7.강서구지역자활센터(장기요양사업)'!F66</f>
        <v>186280870</v>
      </c>
      <c r="H136" s="1743">
        <f t="shared" si="44"/>
        <v>-183137000</v>
      </c>
      <c r="I136" s="1176">
        <f t="shared" si="45"/>
        <v>-0.49574483226813038</v>
      </c>
      <c r="J136" s="46"/>
    </row>
    <row r="137" spans="1:10">
      <c r="A137" s="1824"/>
      <c r="B137" s="347"/>
      <c r="C137" s="1815"/>
      <c r="D137" s="681" t="s">
        <v>168</v>
      </c>
      <c r="E137" s="77">
        <f>'4. 서울Y 봉천종합사회복지관'!D67+'5.은학의집(총괄)'!D67+'6.울산씨밀레'!D67+'7.강서구지역자활센터(장기요양사업)'!D67</f>
        <v>16376000</v>
      </c>
      <c r="F137" s="77">
        <f>'4. 서울Y 봉천종합사회복지관'!E67+'5.은학의집(총괄)'!E67+'6.울산씨밀레'!E67+'7.강서구지역자활센터(장기요양사업)'!E67</f>
        <v>13085390</v>
      </c>
      <c r="G137" s="77">
        <f>'4. 서울Y 봉천종합사회복지관'!F67+'5.은학의집(총괄)'!F67+'6.울산씨밀레'!F67+'7.강서구지역자활센터(장기요양사업)'!F67</f>
        <v>20041000</v>
      </c>
      <c r="H137" s="1743">
        <f t="shared" si="44"/>
        <v>3665000</v>
      </c>
      <c r="I137" s="1176">
        <f t="shared" si="45"/>
        <v>0.22380312652662432</v>
      </c>
      <c r="J137" s="46"/>
    </row>
    <row r="138" spans="1:10">
      <c r="A138" s="1824"/>
      <c r="B138" s="377"/>
      <c r="C138" s="1815"/>
      <c r="D138" s="681" t="s">
        <v>68</v>
      </c>
      <c r="E138" s="77">
        <f>'4. 서울Y 봉천종합사회복지관'!D68+'5.은학의집(총괄)'!D68+'6.울산씨밀레'!D68+'7.강서구지역자활센터(장기요양사업)'!D68</f>
        <v>64414802</v>
      </c>
      <c r="F138" s="77">
        <f>'4. 서울Y 봉천종합사회복지관'!E68+'5.은학의집(총괄)'!E68+'6.울산씨밀레'!E68+'7.강서구지역자활센터(장기요양사업)'!E68</f>
        <v>10591002</v>
      </c>
      <c r="G138" s="77">
        <f>'4. 서울Y 봉천종합사회복지관'!F68+'5.은학의집(총괄)'!F68+'6.울산씨밀레'!F68+'7.강서구지역자활센터(장기요양사업)'!F68</f>
        <v>16454802</v>
      </c>
      <c r="H138" s="1743">
        <f t="shared" si="44"/>
        <v>-47960000</v>
      </c>
      <c r="I138" s="1176">
        <f t="shared" si="45"/>
        <v>-0.74454936615345024</v>
      </c>
      <c r="J138" s="84"/>
    </row>
    <row r="139" spans="1:10">
      <c r="A139" s="1824"/>
      <c r="B139" s="377"/>
      <c r="C139" s="1815"/>
      <c r="D139" s="1175" t="s">
        <v>70</v>
      </c>
      <c r="E139" s="77">
        <f>'4. 서울Y 봉천종합사회복지관'!D69+'5.은학의집(총괄)'!D69+'6.울산씨밀레'!D69+'7.강서구지역자활센터(장기요양사업)'!D69</f>
        <v>0</v>
      </c>
      <c r="F139" s="77">
        <f>'4. 서울Y 봉천종합사회복지관'!E69+'5.은학의집(총괄)'!E69+'6.울산씨밀레'!E69+'7.강서구지역자활센터(장기요양사업)'!E69</f>
        <v>0</v>
      </c>
      <c r="G139" s="77">
        <f>'4. 서울Y 봉천종합사회복지관'!F69+'5.은학의집(총괄)'!F69+'6.울산씨밀레'!F69+'7.강서구지역자활센터(장기요양사업)'!F69</f>
        <v>0</v>
      </c>
      <c r="H139" s="1743">
        <f t="shared" si="44"/>
        <v>0</v>
      </c>
      <c r="I139" s="1176"/>
      <c r="J139" s="91"/>
    </row>
    <row r="140" spans="1:10">
      <c r="A140" s="1824"/>
      <c r="B140" s="377"/>
      <c r="C140" s="1815"/>
      <c r="D140" s="521" t="s">
        <v>151</v>
      </c>
      <c r="E140" s="77">
        <f>'4. 서울Y 봉천종합사회복지관'!D70+'5.은학의집(총괄)'!D70+'6.울산씨밀레'!D70+'7.강서구지역자활센터(장기요양사업)'!D70</f>
        <v>175251340</v>
      </c>
      <c r="F140" s="77">
        <f>'4. 서울Y 봉천종합사회복지관'!E70+'5.은학의집(총괄)'!E70+'6.울산씨밀레'!E70+'7.강서구지역자활센터(장기요양사업)'!E70</f>
        <v>52198148</v>
      </c>
      <c r="G140" s="77">
        <f>'4. 서울Y 봉천종합사회복지관'!F70+'5.은학의집(총괄)'!F70+'6.울산씨밀레'!F70+'7.강서구지역자활센터(장기요양사업)'!F70</f>
        <v>93998340</v>
      </c>
      <c r="H140" s="1743">
        <f t="shared" si="44"/>
        <v>-81253000</v>
      </c>
      <c r="I140" s="1176">
        <f t="shared" si="45"/>
        <v>-0.46363696848195285</v>
      </c>
      <c r="J140" s="552"/>
    </row>
    <row r="141" spans="1:10" ht="17.5" thickBot="1">
      <c r="A141" s="1824"/>
      <c r="B141" s="377"/>
      <c r="C141" s="1854"/>
      <c r="D141" s="562" t="s">
        <v>71</v>
      </c>
      <c r="E141" s="581">
        <f>SUM(E134:E140)</f>
        <v>747313682</v>
      </c>
      <c r="F141" s="581">
        <f t="shared" ref="F141:G141" si="48">SUM(F134:F140)</f>
        <v>283351154</v>
      </c>
      <c r="G141" s="581">
        <f t="shared" si="48"/>
        <v>403475682</v>
      </c>
      <c r="H141" s="1716">
        <f t="shared" si="44"/>
        <v>-343838000</v>
      </c>
      <c r="I141" s="559">
        <f t="shared" si="45"/>
        <v>-0.46009862830264625</v>
      </c>
      <c r="J141" s="51"/>
    </row>
    <row r="142" spans="1:10">
      <c r="A142" s="1824"/>
      <c r="B142" s="378" t="s">
        <v>72</v>
      </c>
      <c r="C142" s="1848" t="s">
        <v>71</v>
      </c>
      <c r="D142" s="1849"/>
      <c r="E142" s="672">
        <f>SUM(E129,E133,E141)</f>
        <v>4534329472</v>
      </c>
      <c r="F142" s="672">
        <f>SUM(F129,F133,F141)</f>
        <v>2769928262</v>
      </c>
      <c r="G142" s="672">
        <f>SUM(G129,G133,G141)</f>
        <v>3284692072</v>
      </c>
      <c r="H142" s="1744">
        <f t="shared" si="44"/>
        <v>-1249637400</v>
      </c>
      <c r="I142" s="673">
        <f t="shared" si="45"/>
        <v>-0.27559475060571864</v>
      </c>
      <c r="J142" s="658"/>
    </row>
    <row r="143" spans="1:10">
      <c r="A143" s="1824"/>
      <c r="B143" s="1855" t="s">
        <v>230</v>
      </c>
      <c r="C143" s="1814" t="s">
        <v>90</v>
      </c>
      <c r="D143" s="374" t="s">
        <v>147</v>
      </c>
      <c r="E143" s="80">
        <f>'4. 서울Y 봉천종합사회복지관'!D73+'5.은학의집(총괄)'!D73+'6.울산씨밀레'!D73</f>
        <v>89740000</v>
      </c>
      <c r="F143" s="80">
        <f>'4. 서울Y 봉천종합사회복지관'!E73+'5.은학의집(총괄)'!E73+'6.울산씨밀레'!E73</f>
        <v>6921170</v>
      </c>
      <c r="G143" s="80">
        <f>'4. 서울Y 봉천종합사회복지관'!F73+'5.은학의집(총괄)'!F73+'6.울산씨밀레'!F73</f>
        <v>25588000</v>
      </c>
      <c r="H143" s="1745">
        <f t="shared" si="44"/>
        <v>-64152000</v>
      </c>
      <c r="I143" s="151">
        <f t="shared" si="45"/>
        <v>-0.71486516603521288</v>
      </c>
      <c r="J143" s="46"/>
    </row>
    <row r="144" spans="1:10">
      <c r="A144" s="1824"/>
      <c r="B144" s="1855"/>
      <c r="C144" s="1814"/>
      <c r="D144" s="519" t="s">
        <v>90</v>
      </c>
      <c r="E144" s="53">
        <f>'4. 서울Y 봉천종합사회복지관'!D74+'5.은학의집(총괄)'!D74+'6.울산씨밀레'!D74</f>
        <v>59000000</v>
      </c>
      <c r="F144" s="53">
        <f>'4. 서울Y 봉천종합사회복지관'!E74+'5.은학의집(총괄)'!E74+'6.울산씨밀레'!E74</f>
        <v>0</v>
      </c>
      <c r="G144" s="53">
        <f>'4. 서울Y 봉천종합사회복지관'!F74+'5.은학의집(총괄)'!F74+'6.울산씨밀레'!F74</f>
        <v>0</v>
      </c>
      <c r="H144" s="1740">
        <f t="shared" si="44"/>
        <v>-59000000</v>
      </c>
      <c r="I144" s="151">
        <f t="shared" si="45"/>
        <v>-1</v>
      </c>
      <c r="J144" s="46"/>
    </row>
    <row r="145" spans="1:10">
      <c r="A145" s="1824"/>
      <c r="B145" s="1856"/>
      <c r="C145" s="1815"/>
      <c r="D145" s="375" t="s">
        <v>99</v>
      </c>
      <c r="E145" s="722">
        <f>'4. 서울Y 봉천종합사회복지관'!D75+'5.은학의집(총괄)'!D75+'6.울산씨밀레'!D75</f>
        <v>192395294</v>
      </c>
      <c r="F145" s="722">
        <f>'4. 서울Y 봉천종합사회복지관'!E75+'5.은학의집(총괄)'!E75+'6.울산씨밀레'!E75</f>
        <v>89682850</v>
      </c>
      <c r="G145" s="722">
        <f>'4. 서울Y 봉천종합사회복지관'!F75+'5.은학의집(총괄)'!F75+'6.울산씨밀레'!F75</f>
        <v>158983294</v>
      </c>
      <c r="H145" s="1709">
        <f t="shared" si="44"/>
        <v>-33412000</v>
      </c>
      <c r="I145" s="151">
        <f t="shared" si="45"/>
        <v>-0.17366329136927849</v>
      </c>
      <c r="J145" s="46"/>
    </row>
    <row r="146" spans="1:10" ht="17.5" thickBot="1">
      <c r="A146" s="1824"/>
      <c r="B146" s="1857"/>
      <c r="C146" s="1827" t="s">
        <v>71</v>
      </c>
      <c r="D146" s="1828"/>
      <c r="E146" s="674">
        <f>SUM(E143:E145)</f>
        <v>341135294</v>
      </c>
      <c r="F146" s="674">
        <f t="shared" ref="F146:G146" si="49">SUM(F143:F145)</f>
        <v>96604020</v>
      </c>
      <c r="G146" s="674">
        <f t="shared" si="49"/>
        <v>184571294</v>
      </c>
      <c r="H146" s="1744">
        <f t="shared" si="44"/>
        <v>-156564000</v>
      </c>
      <c r="I146" s="675">
        <f t="shared" si="45"/>
        <v>-0.45894987341884363</v>
      </c>
      <c r="J146" s="676"/>
    </row>
    <row r="147" spans="1:10">
      <c r="A147" s="1824"/>
      <c r="B147" s="1829" t="s">
        <v>95</v>
      </c>
      <c r="C147" s="1832" t="s">
        <v>77</v>
      </c>
      <c r="D147" s="583" t="s">
        <v>73</v>
      </c>
      <c r="E147" s="721">
        <f>'4. 서울Y 봉천종합사회복지관'!D77+'5.은학의집(총괄)'!D77+'6.울산씨밀레'!D77</f>
        <v>233909240</v>
      </c>
      <c r="F147" s="721">
        <f>'4. 서울Y 봉천종합사회복지관'!E77+'5.은학의집(총괄)'!E77+'6.울산씨밀레'!E77</f>
        <v>108160205</v>
      </c>
      <c r="G147" s="721">
        <f>'4. 서울Y 봉천종합사회복지관'!F77+'5.은학의집(총괄)'!F77+'6.울산씨밀레'!F77</f>
        <v>122257710</v>
      </c>
      <c r="H147" s="1746">
        <f t="shared" si="44"/>
        <v>-111651530</v>
      </c>
      <c r="I147" s="476">
        <f t="shared" si="45"/>
        <v>-0.47732842875296416</v>
      </c>
      <c r="J147" s="87"/>
    </row>
    <row r="148" spans="1:10">
      <c r="A148" s="1824"/>
      <c r="B148" s="1830"/>
      <c r="C148" s="1833"/>
      <c r="D148" s="522" t="s">
        <v>237</v>
      </c>
      <c r="E148" s="53">
        <f>'4. 서울Y 봉천종합사회복지관'!D78+'5.은학의집(총괄)'!D78+'6.울산씨밀레'!D78</f>
        <v>55080000</v>
      </c>
      <c r="F148" s="53">
        <f>'4. 서울Y 봉천종합사회복지관'!E78+'5.은학의집(총괄)'!E78+'6.울산씨밀레'!E78</f>
        <v>9294340</v>
      </c>
      <c r="G148" s="53">
        <f>'4. 서울Y 봉천종합사회복지관'!F78+'5.은학의집(총괄)'!F78+'6.울산씨밀레'!F78</f>
        <v>15900000</v>
      </c>
      <c r="H148" s="1743">
        <f t="shared" si="44"/>
        <v>-39180000</v>
      </c>
      <c r="I148" s="1176">
        <f t="shared" si="45"/>
        <v>-0.71132897603485834</v>
      </c>
      <c r="J148" s="257"/>
    </row>
    <row r="149" spans="1:10">
      <c r="A149" s="1824"/>
      <c r="B149" s="1830"/>
      <c r="C149" s="1833"/>
      <c r="D149" s="522" t="s">
        <v>87</v>
      </c>
      <c r="E149" s="53">
        <f>'4. 서울Y 봉천종합사회복지관'!D79+'5.은학의집(총괄)'!D79+'6.울산씨밀레'!D79</f>
        <v>550000</v>
      </c>
      <c r="F149" s="53">
        <f>'4. 서울Y 봉천종합사회복지관'!E79+'5.은학의집(총괄)'!E79+'6.울산씨밀레'!E79</f>
        <v>0</v>
      </c>
      <c r="G149" s="53">
        <f>'4. 서울Y 봉천종합사회복지관'!F79+'5.은학의집(총괄)'!F79+'6.울산씨밀레'!F79</f>
        <v>550000</v>
      </c>
      <c r="H149" s="1743"/>
      <c r="I149" s="1176"/>
      <c r="J149" s="257"/>
    </row>
    <row r="150" spans="1:10">
      <c r="A150" s="1824"/>
      <c r="B150" s="1830"/>
      <c r="C150" s="1833"/>
      <c r="D150" s="250" t="s">
        <v>64</v>
      </c>
      <c r="E150" s="53">
        <f>'4. 서울Y 봉천종합사회복지관'!D80+'5.은학의집(총괄)'!D80+'6.울산씨밀레'!D80</f>
        <v>24000000</v>
      </c>
      <c r="F150" s="53">
        <f>'4. 서울Y 봉천종합사회복지관'!E80+'5.은학의집(총괄)'!E80+'6.울산씨밀레'!E80</f>
        <v>1695300</v>
      </c>
      <c r="G150" s="53">
        <f>'4. 서울Y 봉천종합사회복지관'!F80+'5.은학의집(총괄)'!F80+'6.울산씨밀레'!F80</f>
        <v>2820000</v>
      </c>
      <c r="H150" s="1743">
        <f t="shared" si="44"/>
        <v>-21180000</v>
      </c>
      <c r="I150" s="1176">
        <f t="shared" si="45"/>
        <v>-0.88249999999999995</v>
      </c>
      <c r="J150" s="91"/>
    </row>
    <row r="151" spans="1:10">
      <c r="A151" s="1824"/>
      <c r="B151" s="1830"/>
      <c r="C151" s="1833"/>
      <c r="D151" s="250" t="s">
        <v>243</v>
      </c>
      <c r="E151" s="53">
        <f>'4. 서울Y 봉천종합사회복지관'!D81+'5.은학의집(총괄)'!D81+'6.울산씨밀레'!D81</f>
        <v>34850000</v>
      </c>
      <c r="F151" s="53">
        <f>'4. 서울Y 봉천종합사회복지관'!E81+'5.은학의집(총괄)'!E81+'6.울산씨밀레'!E81</f>
        <v>15670950</v>
      </c>
      <c r="G151" s="53">
        <f>'4. 서울Y 봉천종합사회복지관'!F81+'5.은학의집(총괄)'!F81+'6.울산씨밀레'!F81</f>
        <v>15840000</v>
      </c>
      <c r="H151" s="1743">
        <f t="shared" si="44"/>
        <v>-19010000</v>
      </c>
      <c r="I151" s="1176">
        <f t="shared" si="45"/>
        <v>-0.54548063127690105</v>
      </c>
      <c r="J151" s="91"/>
    </row>
    <row r="152" spans="1:10" ht="17.5" thickBot="1">
      <c r="A152" s="1824"/>
      <c r="B152" s="1830"/>
      <c r="C152" s="1834"/>
      <c r="D152" s="584" t="s">
        <v>71</v>
      </c>
      <c r="E152" s="553">
        <f>SUM(E147:E151)</f>
        <v>348389240</v>
      </c>
      <c r="F152" s="553">
        <f t="shared" ref="F152:G152" si="50">SUM(F147:F151)</f>
        <v>134820795</v>
      </c>
      <c r="G152" s="553">
        <f t="shared" si="50"/>
        <v>157367710</v>
      </c>
      <c r="H152" s="1718">
        <f t="shared" si="44"/>
        <v>-191021530</v>
      </c>
      <c r="I152" s="559">
        <f t="shared" si="45"/>
        <v>-0.54829916675957047</v>
      </c>
      <c r="J152" s="89"/>
    </row>
    <row r="153" spans="1:10">
      <c r="A153" s="1824"/>
      <c r="B153" s="1830"/>
      <c r="C153" s="1835"/>
      <c r="D153" s="520" t="s">
        <v>201</v>
      </c>
      <c r="E153" s="244">
        <f>'4. 서울Y 봉천종합사회복지관'!D83+'5.은학의집(총괄)'!D83+'6.울산씨밀레'!D83</f>
        <v>22600000</v>
      </c>
      <c r="F153" s="244">
        <f>'4. 서울Y 봉천종합사회복지관'!E83+'5.은학의집(총괄)'!E83+'6.울산씨밀레'!E83</f>
        <v>11087550</v>
      </c>
      <c r="G153" s="244">
        <f>'4. 서울Y 봉천종합사회복지관'!F83+'5.은학의집(총괄)'!F83+'6.울산씨밀레'!F83</f>
        <v>37500000</v>
      </c>
      <c r="H153" s="1747">
        <f t="shared" si="44"/>
        <v>14900000</v>
      </c>
      <c r="I153" s="476">
        <f t="shared" si="45"/>
        <v>0.65929203539823011</v>
      </c>
      <c r="J153" s="87"/>
    </row>
    <row r="154" spans="1:10">
      <c r="A154" s="1824"/>
      <c r="B154" s="1830"/>
      <c r="C154" s="1836"/>
      <c r="D154" s="521" t="s">
        <v>132</v>
      </c>
      <c r="E154" s="244">
        <f>'4. 서울Y 봉천종합사회복지관'!D84+'5.은학의집(총괄)'!D84+'6.울산씨밀레'!D84</f>
        <v>816850000</v>
      </c>
      <c r="F154" s="244">
        <f>'4. 서울Y 봉천종합사회복지관'!E84+'5.은학의집(총괄)'!E84+'6.울산씨밀레'!E84</f>
        <v>517950565</v>
      </c>
      <c r="G154" s="244">
        <f>'4. 서울Y 봉천종합사회복지관'!F84+'5.은학의집(총괄)'!F84+'6.울산씨밀레'!F84</f>
        <v>818461000</v>
      </c>
      <c r="H154" s="1743">
        <f t="shared" si="44"/>
        <v>1611000</v>
      </c>
      <c r="I154" s="151">
        <f t="shared" si="45"/>
        <v>1.9722103201322153E-3</v>
      </c>
      <c r="J154" s="91"/>
    </row>
    <row r="155" spans="1:10">
      <c r="A155" s="1824"/>
      <c r="B155" s="1830"/>
      <c r="C155" s="1836"/>
      <c r="D155" s="521" t="s">
        <v>144</v>
      </c>
      <c r="E155" s="244">
        <f>'4. 서울Y 봉천종합사회복지관'!D85+'5.은학의집(총괄)'!D85+'6.울산씨밀레'!D85</f>
        <v>89920000</v>
      </c>
      <c r="F155" s="244">
        <f>'4. 서울Y 봉천종합사회복지관'!E85+'5.은학의집(총괄)'!E85+'6.울산씨밀레'!E85</f>
        <v>58515604</v>
      </c>
      <c r="G155" s="244">
        <f>'4. 서울Y 봉천종합사회복지관'!F85+'5.은학의집(총괄)'!F85+'6.울산씨밀레'!F85</f>
        <v>109950000</v>
      </c>
      <c r="H155" s="1743">
        <f t="shared" si="44"/>
        <v>20030000</v>
      </c>
      <c r="I155" s="151">
        <f t="shared" si="45"/>
        <v>0.22275355871886121</v>
      </c>
      <c r="J155" s="91"/>
    </row>
    <row r="156" spans="1:10">
      <c r="A156" s="1824"/>
      <c r="B156" s="1830"/>
      <c r="C156" s="1836"/>
      <c r="D156" s="521" t="s">
        <v>107</v>
      </c>
      <c r="E156" s="244">
        <f>'4. 서울Y 봉천종합사회복지관'!D86+'5.은학의집(총괄)'!D86+'6.울산씨밀레'!D86</f>
        <v>0</v>
      </c>
      <c r="F156" s="244">
        <f>'4. 서울Y 봉천종합사회복지관'!E86+'5.은학의집(총괄)'!E86+'6.울산씨밀레'!E86</f>
        <v>0</v>
      </c>
      <c r="G156" s="244">
        <f>'4. 서울Y 봉천종합사회복지관'!F86+'5.은학의집(총괄)'!F86+'6.울산씨밀레'!F86</f>
        <v>0</v>
      </c>
      <c r="H156" s="1743">
        <f t="shared" si="44"/>
        <v>0</v>
      </c>
      <c r="I156" s="151"/>
      <c r="J156" s="91"/>
    </row>
    <row r="157" spans="1:10">
      <c r="A157" s="1824"/>
      <c r="B157" s="1830"/>
      <c r="C157" s="1836"/>
      <c r="D157" s="521" t="s">
        <v>113</v>
      </c>
      <c r="E157" s="244">
        <f>'4. 서울Y 봉천종합사회복지관'!D87+'5.은학의집(총괄)'!D87+'6.울산씨밀레'!D87</f>
        <v>0</v>
      </c>
      <c r="F157" s="244">
        <f>'4. 서울Y 봉천종합사회복지관'!E87+'5.은학의집(총괄)'!E87+'6.울산씨밀레'!E87</f>
        <v>0</v>
      </c>
      <c r="G157" s="244">
        <f>'4. 서울Y 봉천종합사회복지관'!F87+'5.은학의집(총괄)'!F87+'6.울산씨밀레'!F87</f>
        <v>0</v>
      </c>
      <c r="H157" s="1743">
        <f t="shared" si="44"/>
        <v>0</v>
      </c>
      <c r="I157" s="151"/>
      <c r="J157" s="91"/>
    </row>
    <row r="158" spans="1:10">
      <c r="A158" s="1824"/>
      <c r="B158" s="1830"/>
      <c r="C158" s="1836"/>
      <c r="D158" s="521" t="s">
        <v>109</v>
      </c>
      <c r="E158" s="244">
        <f>'4. 서울Y 봉천종합사회복지관'!D88+'5.은학의집(총괄)'!D88+'6.울산씨밀레'!D88</f>
        <v>0</v>
      </c>
      <c r="F158" s="244">
        <f>'4. 서울Y 봉천종합사회복지관'!E88+'5.은학의집(총괄)'!E88+'6.울산씨밀레'!E88</f>
        <v>0</v>
      </c>
      <c r="G158" s="244">
        <f>'4. 서울Y 봉천종합사회복지관'!F88+'5.은학의집(총괄)'!F88+'6.울산씨밀레'!F88</f>
        <v>0</v>
      </c>
      <c r="H158" s="1743">
        <f t="shared" si="44"/>
        <v>0</v>
      </c>
      <c r="I158" s="151"/>
      <c r="J158" s="91"/>
    </row>
    <row r="159" spans="1:10" ht="17.25" customHeight="1">
      <c r="A159" s="1824"/>
      <c r="B159" s="1830"/>
      <c r="C159" s="1836"/>
      <c r="D159" s="521" t="s">
        <v>122</v>
      </c>
      <c r="E159" s="244">
        <f>'4. 서울Y 봉천종합사회복지관'!D89+'5.은학의집(총괄)'!D89+'6.울산씨밀레'!D89</f>
        <v>0</v>
      </c>
      <c r="F159" s="244">
        <f>'4. 서울Y 봉천종합사회복지관'!E89+'5.은학의집(총괄)'!E89+'6.울산씨밀레'!E89</f>
        <v>0</v>
      </c>
      <c r="G159" s="244">
        <f>'4. 서울Y 봉천종합사회복지관'!F89+'5.은학의집(총괄)'!F89+'6.울산씨밀레'!F89</f>
        <v>0</v>
      </c>
      <c r="H159" s="1743">
        <f t="shared" si="44"/>
        <v>0</v>
      </c>
      <c r="I159" s="151"/>
      <c r="J159" s="91"/>
    </row>
    <row r="160" spans="1:10" ht="17.25" customHeight="1">
      <c r="A160" s="1824"/>
      <c r="B160" s="1830"/>
      <c r="C160" s="1836"/>
      <c r="D160" s="521" t="s">
        <v>135</v>
      </c>
      <c r="E160" s="244">
        <f>'4. 서울Y 봉천종합사회복지관'!D90+'5.은학의집(총괄)'!D90+'6.울산씨밀레'!D90</f>
        <v>0</v>
      </c>
      <c r="F160" s="244">
        <f>'4. 서울Y 봉천종합사회복지관'!E90+'5.은학의집(총괄)'!E90+'6.울산씨밀레'!E90</f>
        <v>0</v>
      </c>
      <c r="G160" s="244">
        <f>'4. 서울Y 봉천종합사회복지관'!F90+'5.은학의집(총괄)'!F90+'6.울산씨밀레'!F90</f>
        <v>0</v>
      </c>
      <c r="H160" s="1743">
        <f t="shared" si="44"/>
        <v>0</v>
      </c>
      <c r="I160" s="151"/>
      <c r="J160" s="91"/>
    </row>
    <row r="161" spans="1:10">
      <c r="A161" s="1824"/>
      <c r="B161" s="1830"/>
      <c r="C161" s="1836"/>
      <c r="D161" s="521" t="s">
        <v>205</v>
      </c>
      <c r="E161" s="244">
        <f>'4. 서울Y 봉천종합사회복지관'!D91+'5.은학의집(총괄)'!D91+'6.울산씨밀레'!D91</f>
        <v>0</v>
      </c>
      <c r="F161" s="244">
        <f>'4. 서울Y 봉천종합사회복지관'!E91+'5.은학의집(총괄)'!E91+'6.울산씨밀레'!E91</f>
        <v>0</v>
      </c>
      <c r="G161" s="244">
        <f>'4. 서울Y 봉천종합사회복지관'!F91+'5.은학의집(총괄)'!F91+'6.울산씨밀레'!F91</f>
        <v>0</v>
      </c>
      <c r="H161" s="1743">
        <f t="shared" si="44"/>
        <v>0</v>
      </c>
      <c r="I161" s="151"/>
      <c r="J161" s="91"/>
    </row>
    <row r="162" spans="1:10">
      <c r="A162" s="1824"/>
      <c r="B162" s="1830"/>
      <c r="C162" s="1836"/>
      <c r="D162" s="521" t="s">
        <v>227</v>
      </c>
      <c r="E162" s="244">
        <f>'4. 서울Y 봉천종합사회복지관'!D92+'5.은학의집(총괄)'!D92+'6.울산씨밀레'!D92</f>
        <v>3500000</v>
      </c>
      <c r="F162" s="244">
        <f>'4. 서울Y 봉천종합사회복지관'!E92+'5.은학의집(총괄)'!E92+'6.울산씨밀레'!E92</f>
        <v>0</v>
      </c>
      <c r="G162" s="244">
        <f>'4. 서울Y 봉천종합사회복지관'!F92+'5.은학의집(총괄)'!F92+'6.울산씨밀레'!F92</f>
        <v>3500000</v>
      </c>
      <c r="H162" s="1743">
        <f t="shared" si="44"/>
        <v>0</v>
      </c>
      <c r="I162" s="151">
        <f t="shared" si="45"/>
        <v>0</v>
      </c>
      <c r="J162" s="91"/>
    </row>
    <row r="163" spans="1:10">
      <c r="A163" s="1824"/>
      <c r="B163" s="1830"/>
      <c r="C163" s="1836"/>
      <c r="D163" s="521" t="s">
        <v>240</v>
      </c>
      <c r="E163" s="244">
        <f>'4. 서울Y 봉천종합사회복지관'!D93+'5.은학의집(총괄)'!D93+'6.울산씨밀레'!D93</f>
        <v>102330000</v>
      </c>
      <c r="F163" s="244">
        <f>'4. 서울Y 봉천종합사회복지관'!E93+'5.은학의집(총괄)'!E93+'6.울산씨밀레'!E93</f>
        <v>29711340</v>
      </c>
      <c r="G163" s="244">
        <f>'4. 서울Y 봉천종합사회복지관'!F93+'5.은학의집(총괄)'!F93+'6.울산씨밀레'!F93</f>
        <v>30210000</v>
      </c>
      <c r="H163" s="1743">
        <f t="shared" si="44"/>
        <v>-72120000</v>
      </c>
      <c r="I163" s="151">
        <f t="shared" si="45"/>
        <v>-0.70477865728525357</v>
      </c>
      <c r="J163" s="91"/>
    </row>
    <row r="164" spans="1:10">
      <c r="A164" s="1824"/>
      <c r="B164" s="1830"/>
      <c r="C164" s="1836"/>
      <c r="D164" s="521" t="s">
        <v>245</v>
      </c>
      <c r="E164" s="244">
        <f>'4. 서울Y 봉천종합사회복지관'!D94+'5.은학의집(총괄)'!D94+'6.울산씨밀레'!D94</f>
        <v>4300000</v>
      </c>
      <c r="F164" s="244">
        <f>'4. 서울Y 봉천종합사회복지관'!E94+'5.은학의집(총괄)'!E94+'6.울산씨밀레'!E94</f>
        <v>683500</v>
      </c>
      <c r="G164" s="244">
        <f>'4. 서울Y 봉천종합사회복지관'!F94+'5.은학의집(총괄)'!F94+'6.울산씨밀레'!F94</f>
        <v>700000</v>
      </c>
      <c r="H164" s="1743">
        <f t="shared" si="44"/>
        <v>-3600000</v>
      </c>
      <c r="I164" s="151">
        <f t="shared" si="45"/>
        <v>-0.83720930232558144</v>
      </c>
      <c r="J164" s="91"/>
    </row>
    <row r="165" spans="1:10">
      <c r="A165" s="1824"/>
      <c r="B165" s="1830"/>
      <c r="C165" s="1836"/>
      <c r="D165" s="521" t="s">
        <v>228</v>
      </c>
      <c r="E165" s="244">
        <f>'4. 서울Y 봉천종합사회복지관'!D95+'5.은학의집(총괄)'!D95+'6.울산씨밀레'!D95</f>
        <v>38000000</v>
      </c>
      <c r="F165" s="244">
        <f>'4. 서울Y 봉천종합사회복지관'!E95+'5.은학의집(총괄)'!E95+'6.울산씨밀레'!E95</f>
        <v>0</v>
      </c>
      <c r="G165" s="244">
        <f>'4. 서울Y 봉천종합사회복지관'!F95+'5.은학의집(총괄)'!F95+'6.울산씨밀레'!F95</f>
        <v>300000</v>
      </c>
      <c r="H165" s="1743">
        <f t="shared" si="44"/>
        <v>-37700000</v>
      </c>
      <c r="I165" s="151">
        <f t="shared" si="45"/>
        <v>-0.99210526315789471</v>
      </c>
      <c r="J165" s="91"/>
    </row>
    <row r="166" spans="1:10">
      <c r="A166" s="1824"/>
      <c r="B166" s="1830"/>
      <c r="C166" s="1836"/>
      <c r="D166" s="521" t="s">
        <v>125</v>
      </c>
      <c r="E166" s="244">
        <f>'4. 서울Y 봉천종합사회복지관'!D96+'5.은학의집(총괄)'!D96+'6.울산씨밀레'!D96</f>
        <v>3200000</v>
      </c>
      <c r="F166" s="244">
        <f>'4. 서울Y 봉천종합사회복지관'!E96+'5.은학의집(총괄)'!E96+'6.울산씨밀레'!E96</f>
        <v>256060</v>
      </c>
      <c r="G166" s="244">
        <f>'4. 서울Y 봉천종합사회복지관'!F96+'5.은학의집(총괄)'!F96+'6.울산씨밀레'!F96</f>
        <v>360000</v>
      </c>
      <c r="H166" s="1743">
        <f t="shared" si="44"/>
        <v>-2840000</v>
      </c>
      <c r="I166" s="151">
        <f t="shared" si="45"/>
        <v>-0.88749999999999996</v>
      </c>
      <c r="J166" s="91"/>
    </row>
    <row r="167" spans="1:10">
      <c r="A167" s="1824"/>
      <c r="B167" s="1830"/>
      <c r="C167" s="1836"/>
      <c r="D167" s="521" t="s">
        <v>254</v>
      </c>
      <c r="E167" s="244">
        <f>'4. 서울Y 봉천종합사회복지관'!D97+'5.은학의집(총괄)'!D97+'6.울산씨밀레'!D97</f>
        <v>68080000</v>
      </c>
      <c r="F167" s="244">
        <f>'4. 서울Y 봉천종합사회복지관'!E97+'5.은학의집(총괄)'!E97+'6.울산씨밀레'!E97</f>
        <v>658864</v>
      </c>
      <c r="G167" s="244">
        <f>'4. 서울Y 봉천종합사회복지관'!F97+'5.은학의집(총괄)'!F97+'6.울산씨밀레'!F97</f>
        <v>1010000</v>
      </c>
      <c r="H167" s="1743">
        <f t="shared" si="44"/>
        <v>-67070000</v>
      </c>
      <c r="I167" s="151">
        <f t="shared" si="45"/>
        <v>-0.98516451233842539</v>
      </c>
      <c r="J167" s="91"/>
    </row>
    <row r="168" spans="1:10">
      <c r="A168" s="1824"/>
      <c r="B168" s="1830"/>
      <c r="C168" s="1836"/>
      <c r="D168" s="521" t="s">
        <v>127</v>
      </c>
      <c r="E168" s="244">
        <f>'4. 서울Y 봉천종합사회복지관'!D98+'5.은학의집(총괄)'!D98+'6.울산씨밀레'!D98</f>
        <v>2000000</v>
      </c>
      <c r="F168" s="244">
        <f>'4. 서울Y 봉천종합사회복지관'!E98+'5.은학의집(총괄)'!E98+'6.울산씨밀레'!E98</f>
        <v>4105050</v>
      </c>
      <c r="G168" s="244">
        <f>'4. 서울Y 봉천종합사회복지관'!F98+'5.은학의집(총괄)'!F98+'6.울산씨밀레'!F98</f>
        <v>5000000</v>
      </c>
      <c r="H168" s="1743">
        <f t="shared" si="44"/>
        <v>3000000</v>
      </c>
      <c r="I168" s="151">
        <f t="shared" si="45"/>
        <v>1.5</v>
      </c>
      <c r="J168" s="91"/>
    </row>
    <row r="169" spans="1:10">
      <c r="A169" s="1824"/>
      <c r="B169" s="1830"/>
      <c r="C169" s="1836"/>
      <c r="D169" s="521" t="s">
        <v>140</v>
      </c>
      <c r="E169" s="244">
        <f>'4. 서울Y 봉천종합사회복지관'!D99+'5.은학의집(총괄)'!D99+'6.울산씨밀레'!D99</f>
        <v>0</v>
      </c>
      <c r="F169" s="244">
        <f>'4. 서울Y 봉천종합사회복지관'!E99+'5.은학의집(총괄)'!E99+'6.울산씨밀레'!E99</f>
        <v>0</v>
      </c>
      <c r="G169" s="244">
        <f>'4. 서울Y 봉천종합사회복지관'!F99+'5.은학의집(총괄)'!F99+'6.울산씨밀레'!F99</f>
        <v>0</v>
      </c>
      <c r="H169" s="1743">
        <f t="shared" si="44"/>
        <v>0</v>
      </c>
      <c r="I169" s="151"/>
      <c r="J169" s="91"/>
    </row>
    <row r="170" spans="1:10">
      <c r="A170" s="1824"/>
      <c r="B170" s="1830"/>
      <c r="C170" s="1836"/>
      <c r="D170" s="521" t="s">
        <v>215</v>
      </c>
      <c r="E170" s="244">
        <f>'4. 서울Y 봉천종합사회복지관'!D100+'5.은학의집(총괄)'!D100+'6.울산씨밀레'!D100</f>
        <v>30400000</v>
      </c>
      <c r="F170" s="244">
        <f>'4. 서울Y 봉천종합사회복지관'!E100+'5.은학의집(총괄)'!E100+'6.울산씨밀레'!E100</f>
        <v>3973570</v>
      </c>
      <c r="G170" s="244">
        <f>'4. 서울Y 봉천종합사회복지관'!F100+'5.은학의집(총괄)'!F100+'6.울산씨밀레'!F100</f>
        <v>4145000</v>
      </c>
      <c r="H170" s="1743">
        <f t="shared" si="44"/>
        <v>-26255000</v>
      </c>
      <c r="I170" s="151">
        <f t="shared" si="45"/>
        <v>-0.86365131578947374</v>
      </c>
      <c r="J170" s="91"/>
    </row>
    <row r="171" spans="1:10">
      <c r="A171" s="1824"/>
      <c r="B171" s="1830"/>
      <c r="C171" s="1836"/>
      <c r="D171" s="521" t="s">
        <v>185</v>
      </c>
      <c r="E171" s="244">
        <f>'4. 서울Y 봉천종합사회복지관'!D101+'5.은학의집(총괄)'!D101+'6.울산씨밀레'!D101</f>
        <v>4700000</v>
      </c>
      <c r="F171" s="244">
        <f>'4. 서울Y 봉천종합사회복지관'!E101+'5.은학의집(총괄)'!E101+'6.울산씨밀레'!E101</f>
        <v>871010</v>
      </c>
      <c r="G171" s="244">
        <f>'4. 서울Y 봉천종합사회복지관'!F101+'5.은학의집(총괄)'!F101+'6.울산씨밀레'!F101</f>
        <v>4700000</v>
      </c>
      <c r="H171" s="1743">
        <f t="shared" si="44"/>
        <v>0</v>
      </c>
      <c r="I171" s="151">
        <f t="shared" si="45"/>
        <v>0</v>
      </c>
      <c r="J171" s="91"/>
    </row>
    <row r="172" spans="1:10">
      <c r="A172" s="1824"/>
      <c r="B172" s="1830"/>
      <c r="C172" s="1836"/>
      <c r="D172" s="521" t="s">
        <v>134</v>
      </c>
      <c r="E172" s="244">
        <f>'4. 서울Y 봉천종합사회복지관'!D102+'5.은학의집(총괄)'!D102+'6.울산씨밀레'!D102</f>
        <v>37708000</v>
      </c>
      <c r="F172" s="244">
        <f>'4. 서울Y 봉천종합사회복지관'!E102+'5.은학의집(총괄)'!E102+'6.울산씨밀레'!E102</f>
        <v>30199488</v>
      </c>
      <c r="G172" s="244">
        <f>'4. 서울Y 봉천종합사회복지관'!F102+'5.은학의집(총괄)'!F102+'6.울산씨밀레'!F102</f>
        <v>38208000</v>
      </c>
      <c r="H172" s="1743">
        <f t="shared" si="44"/>
        <v>500000</v>
      </c>
      <c r="I172" s="151">
        <f t="shared" si="45"/>
        <v>1.3259785721862734E-2</v>
      </c>
      <c r="J172" s="91"/>
    </row>
    <row r="173" spans="1:10">
      <c r="A173" s="1824"/>
      <c r="B173" s="1830"/>
      <c r="C173" s="1836"/>
      <c r="D173" s="521" t="s">
        <v>222</v>
      </c>
      <c r="E173" s="244">
        <f>'4. 서울Y 봉천종합사회복지관'!D103+'5.은학의집(총괄)'!D103+'6.울산씨밀레'!D103</f>
        <v>1500000</v>
      </c>
      <c r="F173" s="244">
        <f>'4. 서울Y 봉천종합사회복지관'!E103+'5.은학의집(총괄)'!E103+'6.울산씨밀레'!E103</f>
        <v>0</v>
      </c>
      <c r="G173" s="244">
        <f>'4. 서울Y 봉천종합사회복지관'!F103+'5.은학의집(총괄)'!F103+'6.울산씨밀레'!F103</f>
        <v>1500000</v>
      </c>
      <c r="H173" s="1743">
        <f t="shared" si="44"/>
        <v>0</v>
      </c>
      <c r="I173" s="151">
        <f t="shared" si="45"/>
        <v>0</v>
      </c>
      <c r="J173" s="91"/>
    </row>
    <row r="174" spans="1:10">
      <c r="A174" s="1824"/>
      <c r="B174" s="1830"/>
      <c r="C174" s="1836"/>
      <c r="D174" s="521" t="s">
        <v>255</v>
      </c>
      <c r="E174" s="244">
        <f>'4. 서울Y 봉천종합사회복지관'!D104+'5.은학의집(총괄)'!D104+'6.울산씨밀레'!D104</f>
        <v>6792000</v>
      </c>
      <c r="F174" s="244">
        <f>'4. 서울Y 봉천종합사회복지관'!E104+'5.은학의집(총괄)'!E104+'6.울산씨밀레'!E104</f>
        <v>14500</v>
      </c>
      <c r="G174" s="244">
        <f>'4. 서울Y 봉천종합사회복지관'!F104+'5.은학의집(총괄)'!F104+'6.울산씨밀레'!F104</f>
        <v>6792000</v>
      </c>
      <c r="H174" s="1743">
        <f t="shared" si="44"/>
        <v>0</v>
      </c>
      <c r="I174" s="151">
        <f t="shared" si="45"/>
        <v>0</v>
      </c>
      <c r="J174" s="91"/>
    </row>
    <row r="175" spans="1:10" ht="17.5" thickBot="1">
      <c r="A175" s="1824"/>
      <c r="B175" s="1830"/>
      <c r="C175" s="1837"/>
      <c r="D175" s="523" t="s">
        <v>71</v>
      </c>
      <c r="E175" s="553">
        <f>SUM(E153:E174)</f>
        <v>1231880000</v>
      </c>
      <c r="F175" s="553">
        <f t="shared" ref="F175:G175" si="51">SUM(F153:F174)</f>
        <v>658027101</v>
      </c>
      <c r="G175" s="553">
        <f t="shared" si="51"/>
        <v>1062336000</v>
      </c>
      <c r="H175" s="1718">
        <f t="shared" si="44"/>
        <v>-169544000</v>
      </c>
      <c r="I175" s="559">
        <f t="shared" si="45"/>
        <v>-0.13763028866448029</v>
      </c>
      <c r="J175" s="89"/>
    </row>
    <row r="176" spans="1:10" ht="17.5" thickBot="1">
      <c r="A176" s="1824"/>
      <c r="B176" s="1831"/>
      <c r="C176" s="1838" t="s">
        <v>71</v>
      </c>
      <c r="D176" s="1838"/>
      <c r="E176" s="1365">
        <f>SUM(E152,E175)</f>
        <v>1580269240</v>
      </c>
      <c r="F176" s="1365">
        <f>F175+F152</f>
        <v>792847896</v>
      </c>
      <c r="G176" s="1365">
        <f>SUM(G152,G175)</f>
        <v>1219703710</v>
      </c>
      <c r="H176" s="1748">
        <f t="shared" si="44"/>
        <v>-360565530</v>
      </c>
      <c r="I176" s="677">
        <f t="shared" si="45"/>
        <v>-0.22816715080779526</v>
      </c>
      <c r="J176" s="1366"/>
    </row>
    <row r="177" spans="1:11" ht="17.5" thickBot="1">
      <c r="A177" s="1824"/>
      <c r="B177" s="1850"/>
      <c r="C177" s="1215" t="s">
        <v>533</v>
      </c>
      <c r="D177" s="1013" t="s">
        <v>345</v>
      </c>
      <c r="E177" s="1367">
        <v>0</v>
      </c>
      <c r="F177" s="1367">
        <v>0</v>
      </c>
      <c r="G177" s="1367">
        <v>541000000</v>
      </c>
      <c r="H177" s="1749">
        <v>541000000</v>
      </c>
      <c r="I177" s="1370"/>
      <c r="J177" s="1385"/>
    </row>
    <row r="178" spans="1:11" ht="17.5" thickBot="1">
      <c r="A178" s="1824"/>
      <c r="B178" s="1851"/>
      <c r="C178" s="1852" t="s">
        <v>71</v>
      </c>
      <c r="D178" s="1852"/>
      <c r="E178" s="1368">
        <f>E177</f>
        <v>0</v>
      </c>
      <c r="F178" s="1368">
        <f t="shared" ref="F178:H178" si="52">F177</f>
        <v>0</v>
      </c>
      <c r="G178" s="1368">
        <f t="shared" si="52"/>
        <v>541000000</v>
      </c>
      <c r="H178" s="1750">
        <f t="shared" si="52"/>
        <v>541000000</v>
      </c>
      <c r="I178" s="1371"/>
      <c r="J178" s="1369"/>
    </row>
    <row r="179" spans="1:11">
      <c r="A179" s="1824"/>
      <c r="B179" s="1830" t="s">
        <v>80</v>
      </c>
      <c r="C179" s="379" t="s">
        <v>80</v>
      </c>
      <c r="D179" s="346" t="s">
        <v>80</v>
      </c>
      <c r="E179" s="240">
        <f>'4. 서울Y 봉천종합사회복지관'!D107+'5.은학의집(총괄)'!D109+'6.울산씨밀레'!D107</f>
        <v>9500000</v>
      </c>
      <c r="F179" s="240">
        <f>'4. 서울Y 봉천종합사회복지관'!E107+'5.은학의집(총괄)'!E109+'6.울산씨밀레'!E107</f>
        <v>513700</v>
      </c>
      <c r="G179" s="240">
        <f>'4. 서울Y 봉천종합사회복지관'!F107+'5.은학의집(총괄)'!F109+'6.울산씨밀레'!F107</f>
        <v>2400000</v>
      </c>
      <c r="H179" s="1709">
        <f t="shared" si="44"/>
        <v>-7100000</v>
      </c>
      <c r="I179" s="151">
        <f t="shared" si="45"/>
        <v>-0.74736842105263157</v>
      </c>
      <c r="J179" s="46"/>
    </row>
    <row r="180" spans="1:11" ht="17.5" thickBot="1">
      <c r="A180" s="1824"/>
      <c r="B180" s="1831"/>
      <c r="C180" s="1839" t="s">
        <v>71</v>
      </c>
      <c r="D180" s="1840"/>
      <c r="E180" s="674">
        <f>E179</f>
        <v>9500000</v>
      </c>
      <c r="F180" s="674">
        <f t="shared" ref="F180:G180" si="53">F179</f>
        <v>513700</v>
      </c>
      <c r="G180" s="674">
        <f t="shared" si="53"/>
        <v>2400000</v>
      </c>
      <c r="H180" s="1751">
        <f t="shared" si="44"/>
        <v>-7100000</v>
      </c>
      <c r="I180" s="675">
        <f t="shared" si="45"/>
        <v>-0.74736842105263157</v>
      </c>
      <c r="J180" s="51"/>
    </row>
    <row r="181" spans="1:11">
      <c r="A181" s="1824"/>
      <c r="B181" s="1812" t="s">
        <v>131</v>
      </c>
      <c r="C181" s="1814" t="s">
        <v>131</v>
      </c>
      <c r="D181" s="374" t="s">
        <v>79</v>
      </c>
      <c r="E181" s="81">
        <f>'4. 서울Y 봉천종합사회복지관'!D109+'5.은학의집(총괄)'!D111+'6.울산씨밀레'!D109</f>
        <v>10689501</v>
      </c>
      <c r="F181" s="81">
        <f>'4. 서울Y 봉천종합사회복지관'!E109+'5.은학의집(총괄)'!E111+'6.울산씨밀레'!E109</f>
        <v>0</v>
      </c>
      <c r="G181" s="473">
        <f>'4. 서울Y 봉천종합사회복지관'!F109+'5.은학의집(총괄)'!F111+'6.울산씨밀레'!F109</f>
        <v>14093889</v>
      </c>
      <c r="H181" s="1752">
        <f t="shared" si="44"/>
        <v>3404388</v>
      </c>
      <c r="I181" s="151">
        <f t="shared" si="45"/>
        <v>0.3184795997493241</v>
      </c>
      <c r="J181" s="48"/>
    </row>
    <row r="182" spans="1:11">
      <c r="A182" s="1824"/>
      <c r="B182" s="1812"/>
      <c r="C182" s="1815"/>
      <c r="D182" s="375" t="s">
        <v>63</v>
      </c>
      <c r="E182" s="79">
        <f>'4. 서울Y 봉천종합사회복지관'!D110+'5.은학의집(총괄)'!D112+'6.울산씨밀레'!D110</f>
        <v>32536803</v>
      </c>
      <c r="F182" s="79">
        <f>'4. 서울Y 봉천종합사회복지관'!E110+'5.은학의집(총괄)'!E112+'6.울산씨밀레'!E110</f>
        <v>16516002</v>
      </c>
      <c r="G182" s="79">
        <f>'4. 서울Y 봉천종합사회복지관'!F110+'5.은학의집(총괄)'!F112+'6.울산씨밀레'!F110</f>
        <v>34399345</v>
      </c>
      <c r="H182" s="1709">
        <f t="shared" si="44"/>
        <v>1862542</v>
      </c>
      <c r="I182" s="151">
        <f t="shared" si="45"/>
        <v>5.7244161327097809E-2</v>
      </c>
      <c r="J182" s="46"/>
    </row>
    <row r="183" spans="1:11" ht="17.5" thickBot="1">
      <c r="A183" s="1824"/>
      <c r="B183" s="1813"/>
      <c r="C183" s="1816" t="s">
        <v>71</v>
      </c>
      <c r="D183" s="1817"/>
      <c r="E183" s="672">
        <f>SUM(E181:E182)</f>
        <v>43226304</v>
      </c>
      <c r="F183" s="672">
        <f t="shared" ref="F183:G183" si="54">SUM(F181:F182)</f>
        <v>16516002</v>
      </c>
      <c r="G183" s="672">
        <f t="shared" si="54"/>
        <v>48493234</v>
      </c>
      <c r="H183" s="1753">
        <f t="shared" si="44"/>
        <v>5266930</v>
      </c>
      <c r="I183" s="678">
        <f t="shared" si="45"/>
        <v>0.12184548556360497</v>
      </c>
      <c r="J183" s="84"/>
    </row>
    <row r="184" spans="1:11">
      <c r="A184" s="1825"/>
      <c r="B184" s="1843" t="s">
        <v>129</v>
      </c>
      <c r="C184" s="1846" t="s">
        <v>56</v>
      </c>
      <c r="D184" s="178" t="s">
        <v>152</v>
      </c>
      <c r="E184" s="81">
        <f>'4. 서울Y 봉천종합사회복지관'!D112+'5.은학의집(총괄)'!D114+'6.울산씨밀레'!D112</f>
        <v>18000000</v>
      </c>
      <c r="F184" s="81">
        <f>'4. 서울Y 봉천종합사회복지관'!E112+'5.은학의집(총괄)'!E114+'6.울산씨밀레'!E112</f>
        <v>18000000</v>
      </c>
      <c r="G184" s="473">
        <f>'4. 서울Y 봉천종합사회복지관'!F112+'5.은학의집(총괄)'!F114+'6.울산씨밀레'!F112</f>
        <v>18000000</v>
      </c>
      <c r="H184" s="1745">
        <f t="shared" si="44"/>
        <v>0</v>
      </c>
      <c r="I184" s="657">
        <f t="shared" si="45"/>
        <v>0</v>
      </c>
      <c r="J184" s="654"/>
    </row>
    <row r="185" spans="1:11">
      <c r="A185" s="1825"/>
      <c r="B185" s="1844"/>
      <c r="C185" s="1847"/>
      <c r="D185" s="638" t="s">
        <v>139</v>
      </c>
      <c r="E185" s="79">
        <f>'4. 서울Y 봉천종합사회복지관'!D113+'5.은학의집(총괄)'!D115+'6.울산씨밀레'!D113</f>
        <v>18000000</v>
      </c>
      <c r="F185" s="79">
        <f>'4. 서울Y 봉천종합사회복지관'!E113+'5.은학의집(총괄)'!E115+'6.울산씨밀레'!E113</f>
        <v>18000000</v>
      </c>
      <c r="G185" s="79">
        <f>'4. 서울Y 봉천종합사회복지관'!F113+'5.은학의집(총괄)'!F115+'6.울산씨밀레'!F113</f>
        <v>18000000</v>
      </c>
      <c r="H185" s="1754">
        <f t="shared" si="44"/>
        <v>0</v>
      </c>
      <c r="I185" s="541">
        <f t="shared" si="45"/>
        <v>0</v>
      </c>
      <c r="J185" s="655"/>
    </row>
    <row r="186" spans="1:11" ht="17.5" thickBot="1">
      <c r="A186" s="1825"/>
      <c r="B186" s="1845"/>
      <c r="C186" s="1848" t="s">
        <v>71</v>
      </c>
      <c r="D186" s="1849"/>
      <c r="E186" s="679">
        <f>SUM(E184:E185)</f>
        <v>36000000</v>
      </c>
      <c r="F186" s="679">
        <f t="shared" ref="F186:G186" si="55">SUM(F184:F185)</f>
        <v>36000000</v>
      </c>
      <c r="G186" s="679">
        <f t="shared" si="55"/>
        <v>36000000</v>
      </c>
      <c r="H186" s="1755">
        <f t="shared" si="44"/>
        <v>0</v>
      </c>
      <c r="I186" s="680">
        <f t="shared" si="45"/>
        <v>0</v>
      </c>
      <c r="J186" s="51"/>
    </row>
    <row r="187" spans="1:11" ht="17.5" thickBot="1">
      <c r="A187" s="1825"/>
      <c r="B187" s="1843" t="s">
        <v>288</v>
      </c>
      <c r="C187" s="1846" t="s">
        <v>56</v>
      </c>
      <c r="D187" s="178" t="s">
        <v>142</v>
      </c>
      <c r="E187" s="81">
        <f>'4. 서울Y 봉천종합사회복지관'!D115+'5.은학의집(총괄)'!D117+'6.울산씨밀레'!D115</f>
        <v>264046614</v>
      </c>
      <c r="F187" s="81">
        <f>'4. 서울Y 봉천종합사회복지관'!E115+'5.은학의집(총괄)'!E117+'6.울산씨밀레'!E115</f>
        <v>0</v>
      </c>
      <c r="G187" s="81">
        <f>'4. 서울Y 봉천종합사회복지관'!F115+'5.은학의집(총괄)'!F117+'6.울산씨밀레'!F115</f>
        <v>264046614</v>
      </c>
      <c r="H187" s="1756">
        <f t="shared" si="44"/>
        <v>0</v>
      </c>
      <c r="I187" s="541">
        <f t="shared" si="45"/>
        <v>0</v>
      </c>
      <c r="J187" s="654"/>
    </row>
    <row r="188" spans="1:11">
      <c r="A188" s="1825"/>
      <c r="B188" s="1844"/>
      <c r="C188" s="1847"/>
      <c r="D188" s="638" t="s">
        <v>277</v>
      </c>
      <c r="E188" s="81">
        <f>'4. 서울Y 봉천종합사회복지관'!D116+'5.은학의집(총괄)'!D118+'6.울산씨밀레'!D116</f>
        <v>257654635</v>
      </c>
      <c r="F188" s="81">
        <f>'4. 서울Y 봉천종합사회복지관'!E116+'5.은학의집(총괄)'!E118+'6.울산씨밀레'!E116</f>
        <v>0</v>
      </c>
      <c r="G188" s="81">
        <f>'4. 서울Y 봉천종합사회복지관'!F116+'5.은학의집(총괄)'!F118+'6.울산씨밀레'!F116</f>
        <v>257654635</v>
      </c>
      <c r="H188" s="1754">
        <f t="shared" si="44"/>
        <v>0</v>
      </c>
      <c r="I188" s="541">
        <f t="shared" si="45"/>
        <v>0</v>
      </c>
      <c r="J188" s="655"/>
    </row>
    <row r="189" spans="1:11" ht="17.5" thickBot="1">
      <c r="A189" s="1825"/>
      <c r="B189" s="1845"/>
      <c r="C189" s="1848" t="s">
        <v>71</v>
      </c>
      <c r="D189" s="1849"/>
      <c r="E189" s="679">
        <f>SUM(E187:E188)</f>
        <v>521701249</v>
      </c>
      <c r="F189" s="679">
        <f t="shared" ref="F189:G189" si="56">SUM(F187:F188)</f>
        <v>0</v>
      </c>
      <c r="G189" s="679">
        <f t="shared" si="56"/>
        <v>521701249</v>
      </c>
      <c r="H189" s="1755">
        <f t="shared" si="44"/>
        <v>0</v>
      </c>
      <c r="I189" s="680">
        <f t="shared" si="45"/>
        <v>0</v>
      </c>
      <c r="J189" s="51"/>
    </row>
    <row r="190" spans="1:11" ht="17.5" thickBot="1">
      <c r="A190" s="1825"/>
      <c r="B190" s="661" t="s">
        <v>165</v>
      </c>
      <c r="C190" s="662" t="s">
        <v>165</v>
      </c>
      <c r="D190" s="662" t="s">
        <v>160</v>
      </c>
      <c r="E190" s="81">
        <f>'4. 서울Y 봉천종합사회복지관'!D118+'5.은학의집(총괄)'!D120+'6.울산씨밀레'!D118</f>
        <v>0</v>
      </c>
      <c r="F190" s="81">
        <f>'4. 서울Y 봉천종합사회복지관'!E118+'5.은학의집(총괄)'!E120+'6.울산씨밀레'!E118</f>
        <v>1870148613</v>
      </c>
      <c r="G190" s="81">
        <f>'4. 서울Y 봉천종합사회복지관'!F118+'5.은학의집(총괄)'!F120+'6.울산씨밀레'!F118</f>
        <v>0</v>
      </c>
      <c r="H190" s="1714">
        <f t="shared" si="44"/>
        <v>0</v>
      </c>
      <c r="I190" s="666"/>
      <c r="J190" s="237"/>
      <c r="K190" s="1386"/>
    </row>
    <row r="191" spans="1:11" ht="17.5" thickBot="1">
      <c r="A191" s="1826"/>
      <c r="B191" s="1818" t="s">
        <v>76</v>
      </c>
      <c r="C191" s="1819"/>
      <c r="D191" s="1820"/>
      <c r="E191" s="633">
        <f>E142+E146+E176+E178+E180+E183+E186+E189</f>
        <v>7066161559</v>
      </c>
      <c r="F191" s="633">
        <f>F142+F146+F176+F178+F180+F183+F186+F189+F190</f>
        <v>5582558493</v>
      </c>
      <c r="G191" s="633">
        <f t="shared" ref="G191" si="57">G142+G146+G176+G178+G180+G183+G186+G189</f>
        <v>5838561559</v>
      </c>
      <c r="H191" s="1757">
        <f t="shared" si="44"/>
        <v>-1227600000</v>
      </c>
      <c r="I191" s="683">
        <f t="shared" si="45"/>
        <v>-0.17372939887518357</v>
      </c>
      <c r="J191" s="634"/>
    </row>
    <row r="192" spans="1:11" ht="20.5" hidden="1">
      <c r="B192" s="390" t="s">
        <v>8</v>
      </c>
      <c r="C192" s="390"/>
      <c r="D192" s="390"/>
    </row>
    <row r="193" spans="1:10" ht="17.5" hidden="1" customHeight="1">
      <c r="A193" s="1771" t="s">
        <v>66</v>
      </c>
      <c r="B193" s="1810" t="s">
        <v>156</v>
      </c>
      <c r="C193" s="1811"/>
      <c r="D193" s="1811"/>
      <c r="E193" s="1799" t="s">
        <v>283</v>
      </c>
      <c r="F193" s="1799" t="s">
        <v>46</v>
      </c>
      <c r="G193" s="1799" t="s">
        <v>39</v>
      </c>
      <c r="H193" s="1801" t="s">
        <v>108</v>
      </c>
      <c r="I193" s="1803" t="s">
        <v>186</v>
      </c>
      <c r="J193" s="1805" t="s">
        <v>146</v>
      </c>
    </row>
    <row r="194" spans="1:10" ht="16.5" hidden="1" customHeight="1">
      <c r="A194" s="1772"/>
      <c r="B194" s="587" t="s">
        <v>78</v>
      </c>
      <c r="C194" s="391" t="s">
        <v>88</v>
      </c>
      <c r="D194" s="391" t="s">
        <v>89</v>
      </c>
      <c r="E194" s="1800"/>
      <c r="F194" s="1800"/>
      <c r="G194" s="1800"/>
      <c r="H194" s="1802"/>
      <c r="I194" s="1804"/>
      <c r="J194" s="1806"/>
    </row>
    <row r="195" spans="1:10" ht="17.25" hidden="1" customHeight="1">
      <c r="A195" s="1773" t="s">
        <v>276</v>
      </c>
      <c r="B195" s="1807" t="s">
        <v>62</v>
      </c>
      <c r="C195" s="524" t="s">
        <v>238</v>
      </c>
      <c r="D195" s="524" t="s">
        <v>196</v>
      </c>
      <c r="E195" s="585">
        <f>'7. 강서구어린이집'!D37</f>
        <v>0</v>
      </c>
      <c r="F195" s="585">
        <f>'7. 강서구어린이집'!E37</f>
        <v>0</v>
      </c>
      <c r="G195" s="585">
        <f>'7. 강서구어린이집'!F37</f>
        <v>0</v>
      </c>
      <c r="H195" s="1681">
        <f>G195-E195</f>
        <v>0</v>
      </c>
      <c r="I195" s="164" t="e">
        <f>H195/E195*100%</f>
        <v>#DIV/0!</v>
      </c>
      <c r="J195" s="8"/>
    </row>
    <row r="196" spans="1:10" ht="20.25" hidden="1" customHeight="1">
      <c r="A196" s="1774"/>
      <c r="B196" s="1795"/>
      <c r="C196" s="1782" t="s">
        <v>133</v>
      </c>
      <c r="D196" s="380" t="s">
        <v>207</v>
      </c>
      <c r="E196" s="16">
        <f>'7. 강서구어린이집'!D38</f>
        <v>0</v>
      </c>
      <c r="F196" s="16">
        <f>'7. 강서구어린이집'!E38</f>
        <v>0</v>
      </c>
      <c r="G196" s="16">
        <f>'7. 강서구어린이집'!F38</f>
        <v>0</v>
      </c>
      <c r="H196" s="1673">
        <f t="shared" ref="H196:H239" si="58">G196-E196</f>
        <v>0</v>
      </c>
      <c r="I196" s="164" t="e">
        <f t="shared" ref="I196:I239" si="59">H196/E196*100%</f>
        <v>#DIV/0!</v>
      </c>
      <c r="J196" s="18"/>
    </row>
    <row r="197" spans="1:10" ht="16.5" hidden="1" customHeight="1">
      <c r="A197" s="1774"/>
      <c r="B197" s="1795"/>
      <c r="C197" s="1782"/>
      <c r="D197" s="380" t="s">
        <v>175</v>
      </c>
      <c r="E197" s="16">
        <f>'7. 강서구어린이집'!D39</f>
        <v>0</v>
      </c>
      <c r="F197" s="16">
        <f>'7. 강서구어린이집'!E39</f>
        <v>0</v>
      </c>
      <c r="G197" s="16">
        <f>'7. 강서구어린이집'!F39</f>
        <v>0</v>
      </c>
      <c r="H197" s="1673">
        <f t="shared" si="58"/>
        <v>0</v>
      </c>
      <c r="I197" s="164" t="e">
        <f t="shared" si="59"/>
        <v>#DIV/0!</v>
      </c>
      <c r="J197" s="18"/>
    </row>
    <row r="198" spans="1:10" hidden="1">
      <c r="A198" s="1774"/>
      <c r="B198" s="1795"/>
      <c r="C198" s="380" t="s">
        <v>213</v>
      </c>
      <c r="D198" s="380" t="s">
        <v>213</v>
      </c>
      <c r="E198" s="16">
        <f>'7. 강서구어린이집'!D40</f>
        <v>0</v>
      </c>
      <c r="F198" s="16">
        <f>'7. 강서구어린이집'!E40</f>
        <v>0</v>
      </c>
      <c r="G198" s="16">
        <f>'7. 강서구어린이집'!F40</f>
        <v>0</v>
      </c>
      <c r="H198" s="1673">
        <f t="shared" si="58"/>
        <v>0</v>
      </c>
      <c r="I198" s="164" t="e">
        <f t="shared" si="59"/>
        <v>#DIV/0!</v>
      </c>
      <c r="J198" s="18"/>
    </row>
    <row r="199" spans="1:10" hidden="1">
      <c r="A199" s="1774"/>
      <c r="B199" s="1795"/>
      <c r="C199" s="1782" t="s">
        <v>252</v>
      </c>
      <c r="D199" s="380" t="s">
        <v>200</v>
      </c>
      <c r="E199" s="16">
        <f>'7. 강서구어린이집'!D41</f>
        <v>0</v>
      </c>
      <c r="F199" s="16">
        <f>'7. 강서구어린이집'!E41</f>
        <v>0</v>
      </c>
      <c r="G199" s="16">
        <f>'7. 강서구어린이집'!F41</f>
        <v>0</v>
      </c>
      <c r="H199" s="1673">
        <f t="shared" si="58"/>
        <v>0</v>
      </c>
      <c r="I199" s="164" t="e">
        <f t="shared" si="59"/>
        <v>#DIV/0!</v>
      </c>
      <c r="J199" s="18"/>
    </row>
    <row r="200" spans="1:10" ht="16.5" hidden="1" customHeight="1">
      <c r="A200" s="1774"/>
      <c r="B200" s="1795"/>
      <c r="C200" s="1782"/>
      <c r="D200" s="380" t="s">
        <v>98</v>
      </c>
      <c r="E200" s="585">
        <f>'7. 강서구어린이집'!D42</f>
        <v>0</v>
      </c>
      <c r="F200" s="585">
        <f>'7. 강서구어린이집'!E42</f>
        <v>0</v>
      </c>
      <c r="G200" s="585">
        <f>'7. 강서구어린이집'!F42</f>
        <v>0</v>
      </c>
      <c r="H200" s="1673">
        <f t="shared" si="58"/>
        <v>0</v>
      </c>
      <c r="I200" s="164" t="e">
        <f t="shared" si="59"/>
        <v>#DIV/0!</v>
      </c>
      <c r="J200" s="18"/>
    </row>
    <row r="201" spans="1:10" hidden="1">
      <c r="A201" s="1774"/>
      <c r="B201" s="1796"/>
      <c r="C201" s="1808" t="s">
        <v>71</v>
      </c>
      <c r="D201" s="1809"/>
      <c r="E201" s="127">
        <f>SUM(E195:E200)</f>
        <v>0</v>
      </c>
      <c r="F201" s="127">
        <f t="shared" ref="F201:G201" si="60">SUM(F195:F200)</f>
        <v>0</v>
      </c>
      <c r="G201" s="127">
        <f t="shared" si="60"/>
        <v>0</v>
      </c>
      <c r="H201" s="1686">
        <f t="shared" si="58"/>
        <v>0</v>
      </c>
      <c r="I201" s="164" t="e">
        <f t="shared" si="59"/>
        <v>#DIV/0!</v>
      </c>
      <c r="J201" s="23"/>
    </row>
    <row r="202" spans="1:10" hidden="1">
      <c r="A202" s="1774"/>
      <c r="B202" s="1794" t="s">
        <v>77</v>
      </c>
      <c r="C202" s="1797" t="s">
        <v>223</v>
      </c>
      <c r="D202" s="392" t="s">
        <v>173</v>
      </c>
      <c r="E202" s="96">
        <f>'7. 강서구어린이집'!D44</f>
        <v>0</v>
      </c>
      <c r="F202" s="96">
        <f>'7. 강서구어린이집'!E44</f>
        <v>0</v>
      </c>
      <c r="G202" s="96">
        <f>'7. 강서구어린이집'!F44</f>
        <v>0</v>
      </c>
      <c r="H202" s="1688">
        <f t="shared" si="58"/>
        <v>0</v>
      </c>
      <c r="I202" s="164" t="e">
        <f t="shared" si="59"/>
        <v>#DIV/0!</v>
      </c>
      <c r="J202" s="8"/>
    </row>
    <row r="203" spans="1:10" ht="16.5" hidden="1" customHeight="1">
      <c r="A203" s="1774"/>
      <c r="B203" s="1795"/>
      <c r="C203" s="1791"/>
      <c r="D203" s="393" t="s">
        <v>275</v>
      </c>
      <c r="E203" s="16">
        <f>'7. 강서구어린이집'!D45</f>
        <v>0</v>
      </c>
      <c r="F203" s="16">
        <f>'7. 강서구어린이집'!E45</f>
        <v>0</v>
      </c>
      <c r="G203" s="16">
        <f>'7. 강서구어린이집'!F45</f>
        <v>0</v>
      </c>
      <c r="H203" s="1673">
        <f t="shared" si="58"/>
        <v>0</v>
      </c>
      <c r="I203" s="164" t="e">
        <f t="shared" si="59"/>
        <v>#DIV/0!</v>
      </c>
      <c r="J203" s="18"/>
    </row>
    <row r="204" spans="1:10" hidden="1">
      <c r="A204" s="1774"/>
      <c r="B204" s="1795"/>
      <c r="C204" s="1791"/>
      <c r="D204" s="394" t="s">
        <v>70</v>
      </c>
      <c r="E204" s="16">
        <f>'7. 강서구어린이집'!D46</f>
        <v>0</v>
      </c>
      <c r="F204" s="16">
        <f>'7. 강서구어린이집'!E46</f>
        <v>0</v>
      </c>
      <c r="G204" s="16">
        <f>'7. 강서구어린이집'!F46</f>
        <v>0</v>
      </c>
      <c r="H204" s="1673">
        <f t="shared" si="58"/>
        <v>0</v>
      </c>
      <c r="I204" s="164" t="e">
        <f t="shared" si="59"/>
        <v>#DIV/0!</v>
      </c>
      <c r="J204" s="18"/>
    </row>
    <row r="205" spans="1:10" hidden="1">
      <c r="A205" s="1774"/>
      <c r="B205" s="1795"/>
      <c r="C205" s="1791"/>
      <c r="D205" s="394" t="s">
        <v>60</v>
      </c>
      <c r="E205" s="16">
        <f>'7. 강서구어린이집'!D47</f>
        <v>0</v>
      </c>
      <c r="F205" s="16">
        <f>'7. 강서구어린이집'!E47</f>
        <v>0</v>
      </c>
      <c r="G205" s="16">
        <f>'7. 강서구어린이집'!F47</f>
        <v>0</v>
      </c>
      <c r="H205" s="1673">
        <f t="shared" si="58"/>
        <v>0</v>
      </c>
      <c r="I205" s="164" t="e">
        <f t="shared" si="59"/>
        <v>#DIV/0!</v>
      </c>
      <c r="J205" s="22"/>
    </row>
    <row r="206" spans="1:10" hidden="1">
      <c r="A206" s="1774"/>
      <c r="B206" s="1795"/>
      <c r="C206" s="1791"/>
      <c r="D206" s="394" t="s">
        <v>68</v>
      </c>
      <c r="E206" s="16">
        <f>'7. 강서구어린이집'!D48</f>
        <v>0</v>
      </c>
      <c r="F206" s="16">
        <f>'7. 강서구어린이집'!E48</f>
        <v>0</v>
      </c>
      <c r="G206" s="16">
        <f>'7. 강서구어린이집'!F48</f>
        <v>0</v>
      </c>
      <c r="H206" s="1673">
        <f t="shared" si="58"/>
        <v>0</v>
      </c>
      <c r="I206" s="164" t="e">
        <f t="shared" si="59"/>
        <v>#DIV/0!</v>
      </c>
      <c r="J206" s="22"/>
    </row>
    <row r="207" spans="1:10" hidden="1">
      <c r="A207" s="1774"/>
      <c r="B207" s="1795"/>
      <c r="C207" s="1791"/>
      <c r="D207" s="384" t="s">
        <v>206</v>
      </c>
      <c r="E207" s="16">
        <f>'7. 강서구어린이집'!D49</f>
        <v>0</v>
      </c>
      <c r="F207" s="16">
        <f>'7. 강서구어린이집'!E49</f>
        <v>0</v>
      </c>
      <c r="G207" s="16">
        <f>'7. 강서구어린이집'!F49</f>
        <v>0</v>
      </c>
      <c r="H207" s="1673">
        <f t="shared" si="58"/>
        <v>0</v>
      </c>
      <c r="I207" s="164" t="e">
        <f t="shared" si="59"/>
        <v>#DIV/0!</v>
      </c>
      <c r="J207" s="22"/>
    </row>
    <row r="208" spans="1:10" hidden="1">
      <c r="A208" s="1774"/>
      <c r="B208" s="1795"/>
      <c r="C208" s="1791"/>
      <c r="D208" s="384" t="s">
        <v>151</v>
      </c>
      <c r="E208" s="585">
        <f>'7. 강서구어린이집'!D50</f>
        <v>0</v>
      </c>
      <c r="F208" s="585">
        <f>'7. 강서구어린이집'!E50</f>
        <v>0</v>
      </c>
      <c r="G208" s="585">
        <f>'7. 강서구어린이집'!F50</f>
        <v>0</v>
      </c>
      <c r="H208" s="1673">
        <f t="shared" si="58"/>
        <v>0</v>
      </c>
      <c r="I208" s="164" t="e">
        <f t="shared" si="59"/>
        <v>#DIV/0!</v>
      </c>
      <c r="J208" s="22"/>
    </row>
    <row r="209" spans="1:10" hidden="1">
      <c r="A209" s="1774"/>
      <c r="B209" s="1795"/>
      <c r="C209" s="1792"/>
      <c r="D209" s="395" t="s">
        <v>71</v>
      </c>
      <c r="E209" s="94">
        <f>SUM(E202:E208)</f>
        <v>0</v>
      </c>
      <c r="F209" s="94">
        <f t="shared" ref="F209:G209" si="61">SUM(F202:F208)</f>
        <v>0</v>
      </c>
      <c r="G209" s="94">
        <f t="shared" si="61"/>
        <v>0</v>
      </c>
      <c r="H209" s="1686">
        <f t="shared" si="58"/>
        <v>0</v>
      </c>
      <c r="I209" s="164" t="e">
        <f t="shared" si="59"/>
        <v>#DIV/0!</v>
      </c>
      <c r="J209" s="23"/>
    </row>
    <row r="210" spans="1:10" hidden="1">
      <c r="A210" s="1774"/>
      <c r="B210" s="1795"/>
      <c r="C210" s="1791" t="s">
        <v>216</v>
      </c>
      <c r="D210" s="396" t="s">
        <v>193</v>
      </c>
      <c r="E210" s="32">
        <f>'7. 강서구어린이집'!D52</f>
        <v>0</v>
      </c>
      <c r="F210" s="32">
        <f>'7. 강서구어린이집'!E52</f>
        <v>0</v>
      </c>
      <c r="G210" s="32">
        <f>'7. 강서구어린이집'!F52</f>
        <v>0</v>
      </c>
      <c r="H210" s="1688">
        <f t="shared" si="58"/>
        <v>0</v>
      </c>
      <c r="I210" s="164" t="e">
        <f t="shared" si="59"/>
        <v>#DIV/0!</v>
      </c>
      <c r="J210" s="27"/>
    </row>
    <row r="211" spans="1:10" ht="16.5" hidden="1" customHeight="1">
      <c r="A211" s="1774"/>
      <c r="B211" s="1795"/>
      <c r="C211" s="1791"/>
      <c r="D211" s="396" t="s">
        <v>81</v>
      </c>
      <c r="E211" s="32">
        <f>'7. 강서구어린이집'!D53</f>
        <v>0</v>
      </c>
      <c r="F211" s="32">
        <f>'7. 강서구어린이집'!E53</f>
        <v>0</v>
      </c>
      <c r="G211" s="32">
        <f>'7. 강서구어린이집'!F53</f>
        <v>0</v>
      </c>
      <c r="H211" s="1673">
        <f t="shared" si="58"/>
        <v>0</v>
      </c>
      <c r="I211" s="164" t="e">
        <f t="shared" si="59"/>
        <v>#DIV/0!</v>
      </c>
      <c r="J211" s="22"/>
    </row>
    <row r="212" spans="1:10" hidden="1">
      <c r="A212" s="1774"/>
      <c r="B212" s="1795"/>
      <c r="C212" s="1791"/>
      <c r="D212" s="396" t="s">
        <v>83</v>
      </c>
      <c r="E212" s="32">
        <f>'7. 강서구어린이집'!D54</f>
        <v>0</v>
      </c>
      <c r="F212" s="32">
        <f>'7. 강서구어린이집'!E54</f>
        <v>0</v>
      </c>
      <c r="G212" s="32">
        <f>'7. 강서구어린이집'!F54</f>
        <v>0</v>
      </c>
      <c r="H212" s="1673">
        <f t="shared" si="58"/>
        <v>0</v>
      </c>
      <c r="I212" s="164" t="e">
        <f t="shared" si="59"/>
        <v>#DIV/0!</v>
      </c>
      <c r="J212" s="22"/>
    </row>
    <row r="213" spans="1:10" hidden="1">
      <c r="A213" s="1774"/>
      <c r="B213" s="1795"/>
      <c r="C213" s="1792"/>
      <c r="D213" s="397" t="s">
        <v>71</v>
      </c>
      <c r="E213" s="128">
        <f>SUM(E210:E212)</f>
        <v>0</v>
      </c>
      <c r="F213" s="128">
        <f t="shared" ref="F213:G213" si="62">SUM(F210:F212)</f>
        <v>0</v>
      </c>
      <c r="G213" s="128">
        <f t="shared" si="62"/>
        <v>0</v>
      </c>
      <c r="H213" s="1686">
        <f t="shared" si="58"/>
        <v>0</v>
      </c>
      <c r="I213" s="164" t="e">
        <f t="shared" si="59"/>
        <v>#DIV/0!</v>
      </c>
      <c r="J213" s="23"/>
    </row>
    <row r="214" spans="1:10" hidden="1">
      <c r="A214" s="1774"/>
      <c r="B214" s="1796"/>
      <c r="C214" s="1788" t="s">
        <v>71</v>
      </c>
      <c r="D214" s="1789"/>
      <c r="E214" s="128">
        <f>SUM(E201,E209,E213)</f>
        <v>0</v>
      </c>
      <c r="F214" s="128">
        <f t="shared" ref="F214:G214" si="63">SUM(F201,F209,F213)</f>
        <v>0</v>
      </c>
      <c r="G214" s="128">
        <f t="shared" si="63"/>
        <v>0</v>
      </c>
      <c r="H214" s="1701">
        <f t="shared" si="58"/>
        <v>0</v>
      </c>
      <c r="I214" s="588" t="e">
        <f t="shared" si="59"/>
        <v>#DIV/0!</v>
      </c>
      <c r="J214" s="95"/>
    </row>
    <row r="215" spans="1:10" hidden="1">
      <c r="A215" s="1774"/>
      <c r="B215" s="1794" t="s">
        <v>218</v>
      </c>
      <c r="C215" s="1797" t="s">
        <v>232</v>
      </c>
      <c r="D215" s="392" t="s">
        <v>114</v>
      </c>
      <c r="E215" s="96">
        <f>'7. 강서구어린이집'!D57</f>
        <v>0</v>
      </c>
      <c r="F215" s="96">
        <f>'7. 강서구어린이집'!E57</f>
        <v>0</v>
      </c>
      <c r="G215" s="96">
        <f>'7. 강서구어린이집'!F57</f>
        <v>0</v>
      </c>
      <c r="H215" s="1688">
        <f t="shared" si="58"/>
        <v>0</v>
      </c>
      <c r="I215" s="164" t="e">
        <f t="shared" si="59"/>
        <v>#DIV/0!</v>
      </c>
      <c r="J215" s="8"/>
    </row>
    <row r="216" spans="1:10" ht="16.5" hidden="1" customHeight="1">
      <c r="A216" s="1774"/>
      <c r="B216" s="1795"/>
      <c r="C216" s="1791"/>
      <c r="D216" s="393" t="s">
        <v>120</v>
      </c>
      <c r="E216" s="16">
        <f>'7. 강서구어린이집'!D58</f>
        <v>0</v>
      </c>
      <c r="F216" s="16">
        <f>'7. 강서구어린이집'!E58</f>
        <v>0</v>
      </c>
      <c r="G216" s="16">
        <f>'7. 강서구어린이집'!F58</f>
        <v>0</v>
      </c>
      <c r="H216" s="1673">
        <f t="shared" si="58"/>
        <v>0</v>
      </c>
      <c r="I216" s="164" t="e">
        <f t="shared" si="59"/>
        <v>#DIV/0!</v>
      </c>
      <c r="J216" s="18"/>
    </row>
    <row r="217" spans="1:10" hidden="1">
      <c r="A217" s="1774"/>
      <c r="B217" s="1795"/>
      <c r="C217" s="1791"/>
      <c r="D217" s="393" t="s">
        <v>92</v>
      </c>
      <c r="E217" s="16">
        <f>'7. 강서구어린이집'!D59</f>
        <v>0</v>
      </c>
      <c r="F217" s="16">
        <f>'7. 강서구어린이집'!E59</f>
        <v>0</v>
      </c>
      <c r="G217" s="16">
        <f>'7. 강서구어린이집'!F59</f>
        <v>0</v>
      </c>
      <c r="H217" s="1673">
        <f t="shared" si="58"/>
        <v>0</v>
      </c>
      <c r="I217" s="164" t="e">
        <f t="shared" si="59"/>
        <v>#DIV/0!</v>
      </c>
      <c r="J217" s="18"/>
    </row>
    <row r="218" spans="1:10" hidden="1">
      <c r="A218" s="1774"/>
      <c r="B218" s="1795"/>
      <c r="C218" s="1791"/>
      <c r="D218" s="394" t="s">
        <v>179</v>
      </c>
      <c r="E218" s="16">
        <f>'7. 강서구어린이집'!D60</f>
        <v>0</v>
      </c>
      <c r="F218" s="16">
        <f>'7. 강서구어린이집'!E60</f>
        <v>0</v>
      </c>
      <c r="G218" s="16">
        <f>'7. 강서구어린이집'!F60</f>
        <v>0</v>
      </c>
      <c r="H218" s="1673">
        <f t="shared" si="58"/>
        <v>0</v>
      </c>
      <c r="I218" s="164" t="e">
        <f t="shared" si="59"/>
        <v>#DIV/0!</v>
      </c>
      <c r="J218" s="18"/>
    </row>
    <row r="219" spans="1:10" hidden="1">
      <c r="A219" s="1774"/>
      <c r="B219" s="1795"/>
      <c r="C219" s="1798"/>
      <c r="D219" s="394" t="s">
        <v>115</v>
      </c>
      <c r="E219" s="585">
        <f>'7. 강서구어린이집'!D61</f>
        <v>0</v>
      </c>
      <c r="F219" s="585">
        <f>'7. 강서구어린이집'!E61</f>
        <v>0</v>
      </c>
      <c r="G219" s="585">
        <f>'7. 강서구어린이집'!F61</f>
        <v>0</v>
      </c>
      <c r="H219" s="1673">
        <f t="shared" si="58"/>
        <v>0</v>
      </c>
      <c r="I219" s="164" t="e">
        <f t="shared" si="59"/>
        <v>#DIV/0!</v>
      </c>
      <c r="J219" s="18"/>
    </row>
    <row r="220" spans="1:10" hidden="1">
      <c r="A220" s="1774"/>
      <c r="B220" s="1796"/>
      <c r="C220" s="1786" t="s">
        <v>71</v>
      </c>
      <c r="D220" s="1787"/>
      <c r="E220" s="589">
        <f>SUM(E215:E219)</f>
        <v>0</v>
      </c>
      <c r="F220" s="589">
        <f t="shared" ref="F220:G220" si="64">SUM(F215:F219)</f>
        <v>0</v>
      </c>
      <c r="G220" s="589">
        <f t="shared" si="64"/>
        <v>0</v>
      </c>
      <c r="H220" s="1676">
        <f t="shared" si="58"/>
        <v>0</v>
      </c>
      <c r="I220" s="588" t="e">
        <f t="shared" si="59"/>
        <v>#DIV/0!</v>
      </c>
      <c r="J220" s="31"/>
    </row>
    <row r="221" spans="1:10" ht="34" hidden="1">
      <c r="A221" s="1774"/>
      <c r="B221" s="1778" t="s">
        <v>217</v>
      </c>
      <c r="C221" s="381" t="s">
        <v>124</v>
      </c>
      <c r="D221" s="398" t="s">
        <v>172</v>
      </c>
      <c r="E221" s="130">
        <f>'7. 강서구어린이집'!D63</f>
        <v>0</v>
      </c>
      <c r="F221" s="130">
        <f>'7. 강서구어린이집'!E63</f>
        <v>0</v>
      </c>
      <c r="G221" s="130">
        <f>'7. 강서구어린이집'!F63</f>
        <v>0</v>
      </c>
      <c r="H221" s="1688">
        <f t="shared" si="58"/>
        <v>0</v>
      </c>
      <c r="I221" s="591" t="e">
        <f t="shared" si="59"/>
        <v>#DIV/0!</v>
      </c>
      <c r="J221" s="8"/>
    </row>
    <row r="222" spans="1:10" hidden="1">
      <c r="A222" s="1774"/>
      <c r="B222" s="1779"/>
      <c r="C222" s="380" t="s">
        <v>220</v>
      </c>
      <c r="D222" s="399" t="s">
        <v>104</v>
      </c>
      <c r="E222" s="122">
        <f>'7. 강서구어린이집'!D64</f>
        <v>0</v>
      </c>
      <c r="F222" s="122">
        <f>'7. 강서구어린이집'!E64</f>
        <v>0</v>
      </c>
      <c r="G222" s="122">
        <f>'7. 강서구어린이집'!F64</f>
        <v>0</v>
      </c>
      <c r="H222" s="1673">
        <f t="shared" si="58"/>
        <v>0</v>
      </c>
      <c r="I222" s="593" t="e">
        <f t="shared" si="59"/>
        <v>#DIV/0!</v>
      </c>
      <c r="J222" s="18"/>
    </row>
    <row r="223" spans="1:10" hidden="1">
      <c r="A223" s="1774"/>
      <c r="B223" s="1780"/>
      <c r="C223" s="1788" t="s">
        <v>71</v>
      </c>
      <c r="D223" s="1789"/>
      <c r="E223" s="128">
        <f>SUM(E221:E222)</f>
        <v>0</v>
      </c>
      <c r="F223" s="128">
        <f t="shared" ref="F223:G223" si="65">SUM(F221:F222)</f>
        <v>0</v>
      </c>
      <c r="G223" s="128">
        <f t="shared" si="65"/>
        <v>0</v>
      </c>
      <c r="H223" s="1676">
        <f t="shared" si="58"/>
        <v>0</v>
      </c>
      <c r="I223" s="592" t="e">
        <f t="shared" si="59"/>
        <v>#DIV/0!</v>
      </c>
      <c r="J223" s="23"/>
    </row>
    <row r="224" spans="1:10" hidden="1">
      <c r="A224" s="1774"/>
      <c r="B224" s="1778" t="s">
        <v>230</v>
      </c>
      <c r="C224" s="1781" t="s">
        <v>90</v>
      </c>
      <c r="D224" s="381" t="s">
        <v>90</v>
      </c>
      <c r="E224" s="28">
        <f>'7. 강서구어린이집'!D66</f>
        <v>0</v>
      </c>
      <c r="F224" s="28">
        <f>'7. 강서구어린이집'!E66</f>
        <v>0</v>
      </c>
      <c r="G224" s="28">
        <f>'7. 강서구어린이집'!F66</f>
        <v>0</v>
      </c>
      <c r="H224" s="1688">
        <f t="shared" si="58"/>
        <v>0</v>
      </c>
      <c r="I224" s="164" t="e">
        <f t="shared" si="59"/>
        <v>#DIV/0!</v>
      </c>
      <c r="J224" s="8"/>
    </row>
    <row r="225" spans="1:10" hidden="1">
      <c r="A225" s="1774"/>
      <c r="B225" s="1779"/>
      <c r="C225" s="1782"/>
      <c r="D225" s="380" t="s">
        <v>202</v>
      </c>
      <c r="E225" s="125">
        <f>'7. 강서구어린이집'!D67</f>
        <v>0</v>
      </c>
      <c r="F225" s="125">
        <f>'7. 강서구어린이집'!E67</f>
        <v>0</v>
      </c>
      <c r="G225" s="125">
        <f>'7. 강서구어린이집'!F67</f>
        <v>0</v>
      </c>
      <c r="H225" s="1673">
        <f t="shared" si="58"/>
        <v>0</v>
      </c>
      <c r="I225" s="164" t="e">
        <f t="shared" si="59"/>
        <v>#DIV/0!</v>
      </c>
      <c r="J225" s="18"/>
    </row>
    <row r="226" spans="1:10" hidden="1">
      <c r="A226" s="1774"/>
      <c r="B226" s="1779"/>
      <c r="C226" s="1790"/>
      <c r="D226" s="382" t="s">
        <v>71</v>
      </c>
      <c r="E226" s="106">
        <f>SUM(E224:E225)</f>
        <v>0</v>
      </c>
      <c r="F226" s="106">
        <f t="shared" ref="F226:G226" si="66">SUM(F224:F225)</f>
        <v>0</v>
      </c>
      <c r="G226" s="106">
        <f t="shared" si="66"/>
        <v>0</v>
      </c>
      <c r="H226" s="1686">
        <f t="shared" si="58"/>
        <v>0</v>
      </c>
      <c r="I226" s="164" t="e">
        <f t="shared" si="59"/>
        <v>#DIV/0!</v>
      </c>
      <c r="J226" s="31"/>
    </row>
    <row r="227" spans="1:10" hidden="1">
      <c r="A227" s="1774"/>
      <c r="B227" s="1779"/>
      <c r="C227" s="1791" t="s">
        <v>225</v>
      </c>
      <c r="D227" s="383" t="s">
        <v>147</v>
      </c>
      <c r="E227" s="122">
        <f>'7. 강서구어린이집'!D69</f>
        <v>0</v>
      </c>
      <c r="F227" s="122">
        <f>'7. 강서구어린이집'!E69</f>
        <v>0</v>
      </c>
      <c r="G227" s="122">
        <f>'7. 강서구어린이집'!F69</f>
        <v>0</v>
      </c>
      <c r="H227" s="1688">
        <f t="shared" si="58"/>
        <v>0</v>
      </c>
      <c r="I227" s="164" t="e">
        <f t="shared" si="59"/>
        <v>#DIV/0!</v>
      </c>
      <c r="J227" s="8"/>
    </row>
    <row r="228" spans="1:10" ht="16.5" hidden="1" customHeight="1">
      <c r="A228" s="1774"/>
      <c r="B228" s="1779"/>
      <c r="C228" s="1792"/>
      <c r="D228" s="382" t="s">
        <v>71</v>
      </c>
      <c r="E228" s="133">
        <f>E227</f>
        <v>0</v>
      </c>
      <c r="F228" s="133">
        <f t="shared" ref="F228:G228" si="67">F227</f>
        <v>0</v>
      </c>
      <c r="G228" s="133">
        <f t="shared" si="67"/>
        <v>0</v>
      </c>
      <c r="H228" s="1686">
        <f t="shared" si="58"/>
        <v>0</v>
      </c>
      <c r="I228" s="164" t="e">
        <f t="shared" si="59"/>
        <v>#DIV/0!</v>
      </c>
      <c r="J228" s="31"/>
    </row>
    <row r="229" spans="1:10" hidden="1">
      <c r="A229" s="1774"/>
      <c r="B229" s="1780"/>
      <c r="C229" s="1793" t="s">
        <v>71</v>
      </c>
      <c r="D229" s="1793"/>
      <c r="E229" s="128">
        <f>SUM(E226,E228)</f>
        <v>0</v>
      </c>
      <c r="F229" s="128">
        <f t="shared" ref="F229:G229" si="68">SUM(F226,F228)</f>
        <v>0</v>
      </c>
      <c r="G229" s="128">
        <f t="shared" si="68"/>
        <v>0</v>
      </c>
      <c r="H229" s="1701">
        <f t="shared" si="58"/>
        <v>0</v>
      </c>
      <c r="I229" s="588" t="e">
        <f t="shared" si="59"/>
        <v>#DIV/0!</v>
      </c>
      <c r="J229" s="95"/>
    </row>
    <row r="230" spans="1:10" hidden="1">
      <c r="A230" s="1774"/>
      <c r="B230" s="1779" t="s">
        <v>191</v>
      </c>
      <c r="C230" s="400" t="s">
        <v>191</v>
      </c>
      <c r="D230" s="400" t="s">
        <v>191</v>
      </c>
      <c r="E230" s="124">
        <f>'7. 강서구어린이집'!D72</f>
        <v>0</v>
      </c>
      <c r="F230" s="124">
        <f>'7. 강서구어린이집'!E72</f>
        <v>0</v>
      </c>
      <c r="G230" s="124">
        <f>'7. 강서구어린이집'!F72</f>
        <v>0</v>
      </c>
      <c r="H230" s="1688">
        <f t="shared" si="58"/>
        <v>0</v>
      </c>
      <c r="I230" s="164" t="e">
        <f t="shared" si="59"/>
        <v>#DIV/0!</v>
      </c>
      <c r="J230" s="27"/>
    </row>
    <row r="231" spans="1:10" hidden="1">
      <c r="A231" s="1774"/>
      <c r="B231" s="1780"/>
      <c r="C231" s="1776" t="s">
        <v>71</v>
      </c>
      <c r="D231" s="1777"/>
      <c r="E231" s="34">
        <f>E230</f>
        <v>0</v>
      </c>
      <c r="F231" s="34">
        <f t="shared" ref="F231:G231" si="69">F230</f>
        <v>0</v>
      </c>
      <c r="G231" s="34">
        <f t="shared" si="69"/>
        <v>0</v>
      </c>
      <c r="H231" s="1686">
        <f t="shared" si="58"/>
        <v>0</v>
      </c>
      <c r="I231" s="164" t="e">
        <f t="shared" si="59"/>
        <v>#DIV/0!</v>
      </c>
      <c r="J231" s="23"/>
    </row>
    <row r="232" spans="1:10" hidden="1">
      <c r="A232" s="1774"/>
      <c r="B232" s="1778" t="s">
        <v>80</v>
      </c>
      <c r="C232" s="401" t="s">
        <v>80</v>
      </c>
      <c r="D232" s="401" t="s">
        <v>80</v>
      </c>
      <c r="E232" s="37">
        <f>'7. 강서구어린이집'!D74</f>
        <v>0</v>
      </c>
      <c r="F232" s="37">
        <f>'7. 강서구어린이집'!E74</f>
        <v>0</v>
      </c>
      <c r="G232" s="37">
        <f>'7. 강서구어린이집'!F74</f>
        <v>0</v>
      </c>
      <c r="H232" s="1688">
        <f t="shared" si="58"/>
        <v>0</v>
      </c>
      <c r="I232" s="164" t="e">
        <f t="shared" si="59"/>
        <v>#DIV/0!</v>
      </c>
      <c r="J232" s="36"/>
    </row>
    <row r="233" spans="1:10" hidden="1">
      <c r="A233" s="1774"/>
      <c r="B233" s="1780"/>
      <c r="C233" s="1776" t="s">
        <v>71</v>
      </c>
      <c r="D233" s="1777"/>
      <c r="E233" s="24">
        <f>E232</f>
        <v>0</v>
      </c>
      <c r="F233" s="24">
        <f t="shared" ref="F233:G233" si="70">F232</f>
        <v>0</v>
      </c>
      <c r="G233" s="24">
        <f t="shared" si="70"/>
        <v>0</v>
      </c>
      <c r="H233" s="1686">
        <f t="shared" si="58"/>
        <v>0</v>
      </c>
      <c r="I233" s="164" t="e">
        <f t="shared" si="59"/>
        <v>#DIV/0!</v>
      </c>
      <c r="J233" s="100"/>
    </row>
    <row r="234" spans="1:10" hidden="1">
      <c r="A234" s="1774"/>
      <c r="B234" s="1778" t="s">
        <v>131</v>
      </c>
      <c r="C234" s="1781" t="s">
        <v>131</v>
      </c>
      <c r="D234" s="381" t="s">
        <v>79</v>
      </c>
      <c r="E234" s="38">
        <f>'7. 강서구어린이집'!D76</f>
        <v>0</v>
      </c>
      <c r="F234" s="38">
        <f>'7. 강서구어린이집'!E76</f>
        <v>0</v>
      </c>
      <c r="G234" s="38">
        <f>'7. 강서구어린이집'!F76</f>
        <v>0</v>
      </c>
      <c r="H234" s="1688">
        <f t="shared" si="58"/>
        <v>0</v>
      </c>
      <c r="I234" s="164" t="e">
        <f t="shared" si="59"/>
        <v>#DIV/0!</v>
      </c>
      <c r="J234" s="8"/>
    </row>
    <row r="235" spans="1:10" ht="17.25" hidden="1" customHeight="1">
      <c r="A235" s="1774"/>
      <c r="B235" s="1779"/>
      <c r="C235" s="1782"/>
      <c r="D235" s="381" t="s">
        <v>63</v>
      </c>
      <c r="E235" s="38">
        <f>'7. 강서구어린이집'!D77</f>
        <v>0</v>
      </c>
      <c r="F235" s="38">
        <f>'7. 강서구어린이집'!E77</f>
        <v>0</v>
      </c>
      <c r="G235" s="38">
        <f>'7. 강서구어린이집'!F77</f>
        <v>0</v>
      </c>
      <c r="H235" s="1688">
        <f t="shared" si="58"/>
        <v>0</v>
      </c>
      <c r="I235" s="164" t="e">
        <f t="shared" si="59"/>
        <v>#DIV/0!</v>
      </c>
      <c r="J235" s="8"/>
    </row>
    <row r="236" spans="1:10" hidden="1">
      <c r="A236" s="1774"/>
      <c r="B236" s="1780"/>
      <c r="C236" s="1783" t="s">
        <v>71</v>
      </c>
      <c r="D236" s="1784"/>
      <c r="E236" s="94">
        <f>SUM(E234:E235)</f>
        <v>0</v>
      </c>
      <c r="F236" s="94">
        <f t="shared" ref="F236:G236" si="71">SUM(F234:F235)</f>
        <v>0</v>
      </c>
      <c r="G236" s="94">
        <f t="shared" si="71"/>
        <v>0</v>
      </c>
      <c r="H236" s="1686">
        <f t="shared" si="58"/>
        <v>0</v>
      </c>
      <c r="I236" s="164" t="e">
        <f t="shared" si="59"/>
        <v>#DIV/0!</v>
      </c>
      <c r="J236" s="23"/>
    </row>
    <row r="237" spans="1:10" hidden="1">
      <c r="A237" s="1774"/>
      <c r="B237" s="1778" t="s">
        <v>165</v>
      </c>
      <c r="C237" s="402" t="s">
        <v>165</v>
      </c>
      <c r="D237" s="402" t="s">
        <v>160</v>
      </c>
      <c r="E237" s="38">
        <f>'7. 강서구어린이집'!D79</f>
        <v>0</v>
      </c>
      <c r="F237" s="38">
        <f>'7. 강서구어린이집'!E79</f>
        <v>0</v>
      </c>
      <c r="G237" s="38">
        <f>'7. 강서구어린이집'!F79</f>
        <v>0</v>
      </c>
      <c r="H237" s="1688">
        <f t="shared" si="58"/>
        <v>0</v>
      </c>
      <c r="I237" s="164" t="e">
        <f t="shared" si="59"/>
        <v>#DIV/0!</v>
      </c>
      <c r="J237" s="9"/>
    </row>
    <row r="238" spans="1:10" hidden="1">
      <c r="A238" s="1774"/>
      <c r="B238" s="1780"/>
      <c r="C238" s="1785" t="s">
        <v>71</v>
      </c>
      <c r="D238" s="1785"/>
      <c r="E238" s="30">
        <f>E237</f>
        <v>0</v>
      </c>
      <c r="F238" s="30">
        <f t="shared" ref="F238:G238" si="72">F237</f>
        <v>0</v>
      </c>
      <c r="G238" s="30">
        <f t="shared" si="72"/>
        <v>0</v>
      </c>
      <c r="H238" s="1686">
        <f t="shared" si="58"/>
        <v>0</v>
      </c>
      <c r="I238" s="164" t="e">
        <f t="shared" si="59"/>
        <v>#DIV/0!</v>
      </c>
      <c r="J238" s="31"/>
    </row>
    <row r="239" spans="1:10" hidden="1">
      <c r="A239" s="1775"/>
      <c r="B239" s="1768" t="s">
        <v>76</v>
      </c>
      <c r="C239" s="1769"/>
      <c r="D239" s="1770"/>
      <c r="E239" s="165">
        <f>SUM(E201,E214,E220,E223,E229,E231,E233,E236,E238)</f>
        <v>0</v>
      </c>
      <c r="F239" s="165">
        <f t="shared" ref="F239:G239" si="73">SUM(F201,F214,F220,F223,F229,F231,F233,F236,F238)</f>
        <v>0</v>
      </c>
      <c r="G239" s="165">
        <f t="shared" si="73"/>
        <v>0</v>
      </c>
      <c r="H239" s="1758">
        <f t="shared" si="58"/>
        <v>0</v>
      </c>
      <c r="I239" s="594" t="e">
        <f t="shared" si="59"/>
        <v>#DIV/0!</v>
      </c>
      <c r="J239" s="166"/>
    </row>
    <row r="240" spans="1:10">
      <c r="A240" s="339"/>
      <c r="E240" s="59"/>
      <c r="F240" s="59"/>
      <c r="G240" s="59"/>
    </row>
    <row r="241" spans="5:7">
      <c r="E241" s="59"/>
      <c r="F241" s="59"/>
      <c r="G241" s="59"/>
    </row>
    <row r="242" spans="5:7">
      <c r="E242" s="59"/>
      <c r="F242" s="59"/>
    </row>
    <row r="243" spans="5:7">
      <c r="E243" s="59"/>
      <c r="F243" s="59"/>
    </row>
    <row r="244" spans="5:7">
      <c r="E244" s="59"/>
      <c r="F244" s="59"/>
    </row>
  </sheetData>
  <mergeCells count="191">
    <mergeCell ref="A6:A7"/>
    <mergeCell ref="A8:A27"/>
    <mergeCell ref="B23:B26"/>
    <mergeCell ref="C23:C25"/>
    <mergeCell ref="C26:D26"/>
    <mergeCell ref="B27:D27"/>
    <mergeCell ref="F6:F7"/>
    <mergeCell ref="B8:B10"/>
    <mergeCell ref="C10:D10"/>
    <mergeCell ref="B13:B15"/>
    <mergeCell ref="C13:C14"/>
    <mergeCell ref="C15:D15"/>
    <mergeCell ref="B20:B22"/>
    <mergeCell ref="C20:C21"/>
    <mergeCell ref="C22:D22"/>
    <mergeCell ref="B18:B19"/>
    <mergeCell ref="C19:D19"/>
    <mergeCell ref="E6:E7"/>
    <mergeCell ref="G6:G7"/>
    <mergeCell ref="H6:H7"/>
    <mergeCell ref="I6:I7"/>
    <mergeCell ref="J6:J7"/>
    <mergeCell ref="C42:D42"/>
    <mergeCell ref="B46:B49"/>
    <mergeCell ref="C49:D49"/>
    <mergeCell ref="B28:J28"/>
    <mergeCell ref="B29:D29"/>
    <mergeCell ref="E29:E30"/>
    <mergeCell ref="G29:G30"/>
    <mergeCell ref="H29:H30"/>
    <mergeCell ref="I29:I30"/>
    <mergeCell ref="J29:J30"/>
    <mergeCell ref="B33:B34"/>
    <mergeCell ref="C34:D34"/>
    <mergeCell ref="B16:B17"/>
    <mergeCell ref="C17:D17"/>
    <mergeCell ref="B82:B84"/>
    <mergeCell ref="A65:A88"/>
    <mergeCell ref="B62:J62"/>
    <mergeCell ref="F29:F30"/>
    <mergeCell ref="F63:F64"/>
    <mergeCell ref="B88:D88"/>
    <mergeCell ref="A63:A64"/>
    <mergeCell ref="B63:D63"/>
    <mergeCell ref="E63:E64"/>
    <mergeCell ref="G63:G64"/>
    <mergeCell ref="B65:B66"/>
    <mergeCell ref="C65:C66"/>
    <mergeCell ref="B71:B75"/>
    <mergeCell ref="C72:C74"/>
    <mergeCell ref="C82:C83"/>
    <mergeCell ref="B85:B86"/>
    <mergeCell ref="C85:C86"/>
    <mergeCell ref="C52:D52"/>
    <mergeCell ref="C53:C56"/>
    <mergeCell ref="C60:D60"/>
    <mergeCell ref="B61:D61"/>
    <mergeCell ref="A29:A30"/>
    <mergeCell ref="C39:D39"/>
    <mergeCell ref="B40:B42"/>
    <mergeCell ref="A1:J1"/>
    <mergeCell ref="A2:J2"/>
    <mergeCell ref="A3:J3"/>
    <mergeCell ref="A4:J4"/>
    <mergeCell ref="B11:B12"/>
    <mergeCell ref="C12:D12"/>
    <mergeCell ref="A31:A61"/>
    <mergeCell ref="B31:B32"/>
    <mergeCell ref="C32:D32"/>
    <mergeCell ref="C57:D57"/>
    <mergeCell ref="B53:B57"/>
    <mergeCell ref="C58:C59"/>
    <mergeCell ref="B58:B60"/>
    <mergeCell ref="B50:B52"/>
    <mergeCell ref="C50:C51"/>
    <mergeCell ref="B35:B39"/>
    <mergeCell ref="C35:C38"/>
    <mergeCell ref="C46:C48"/>
    <mergeCell ref="B43:B45"/>
    <mergeCell ref="C45:D45"/>
    <mergeCell ref="C43:C44"/>
    <mergeCell ref="C40:C41"/>
    <mergeCell ref="B5:J5"/>
    <mergeCell ref="B6:D6"/>
    <mergeCell ref="A90:A91"/>
    <mergeCell ref="A92:A118"/>
    <mergeCell ref="B109:B111"/>
    <mergeCell ref="C109:C110"/>
    <mergeCell ref="C111:D111"/>
    <mergeCell ref="B112:B113"/>
    <mergeCell ref="C113:D113"/>
    <mergeCell ref="J63:J64"/>
    <mergeCell ref="C67:D67"/>
    <mergeCell ref="C70:D70"/>
    <mergeCell ref="B68:B70"/>
    <mergeCell ref="C75:D75"/>
    <mergeCell ref="C77:D77"/>
    <mergeCell ref="C79:D79"/>
    <mergeCell ref="C81:D81"/>
    <mergeCell ref="I63:I64"/>
    <mergeCell ref="C106:D106"/>
    <mergeCell ref="E90:E91"/>
    <mergeCell ref="F90:F91"/>
    <mergeCell ref="G90:G91"/>
    <mergeCell ref="H90:H91"/>
    <mergeCell ref="H63:H64"/>
    <mergeCell ref="C84:D84"/>
    <mergeCell ref="C87:D87"/>
    <mergeCell ref="I90:I91"/>
    <mergeCell ref="B90:D90"/>
    <mergeCell ref="J90:J91"/>
    <mergeCell ref="B92:B106"/>
    <mergeCell ref="C92:C96"/>
    <mergeCell ref="C97:C99"/>
    <mergeCell ref="B114:B115"/>
    <mergeCell ref="C100:C105"/>
    <mergeCell ref="B120:J120"/>
    <mergeCell ref="B116:B117"/>
    <mergeCell ref="B118:D118"/>
    <mergeCell ref="B107:B108"/>
    <mergeCell ref="C108:D108"/>
    <mergeCell ref="J121:J122"/>
    <mergeCell ref="C123:C129"/>
    <mergeCell ref="C130:C133"/>
    <mergeCell ref="C134:C141"/>
    <mergeCell ref="C142:D142"/>
    <mergeCell ref="B143:B146"/>
    <mergeCell ref="C143:C145"/>
    <mergeCell ref="E121:E122"/>
    <mergeCell ref="F121:F122"/>
    <mergeCell ref="G121:G122"/>
    <mergeCell ref="H121:H122"/>
    <mergeCell ref="I121:I122"/>
    <mergeCell ref="B181:B183"/>
    <mergeCell ref="C181:C182"/>
    <mergeCell ref="C183:D183"/>
    <mergeCell ref="B191:D191"/>
    <mergeCell ref="A121:A122"/>
    <mergeCell ref="A123:A191"/>
    <mergeCell ref="C146:D146"/>
    <mergeCell ref="B147:B176"/>
    <mergeCell ref="C147:C152"/>
    <mergeCell ref="C153:C175"/>
    <mergeCell ref="C176:D176"/>
    <mergeCell ref="B179:B180"/>
    <mergeCell ref="C180:D180"/>
    <mergeCell ref="B121:D121"/>
    <mergeCell ref="B184:B186"/>
    <mergeCell ref="C184:C185"/>
    <mergeCell ref="C186:D186"/>
    <mergeCell ref="B187:B189"/>
    <mergeCell ref="C187:C188"/>
    <mergeCell ref="C189:D189"/>
    <mergeCell ref="B177:B178"/>
    <mergeCell ref="C178:D178"/>
    <mergeCell ref="G193:G194"/>
    <mergeCell ref="H193:H194"/>
    <mergeCell ref="I193:I194"/>
    <mergeCell ref="J193:J194"/>
    <mergeCell ref="B195:B201"/>
    <mergeCell ref="C196:C197"/>
    <mergeCell ref="C199:C200"/>
    <mergeCell ref="C201:D201"/>
    <mergeCell ref="B202:B214"/>
    <mergeCell ref="C202:C209"/>
    <mergeCell ref="C210:C213"/>
    <mergeCell ref="C214:D214"/>
    <mergeCell ref="B193:D193"/>
    <mergeCell ref="E193:E194"/>
    <mergeCell ref="F193:F194"/>
    <mergeCell ref="B239:D239"/>
    <mergeCell ref="A193:A194"/>
    <mergeCell ref="A195:A239"/>
    <mergeCell ref="C233:D233"/>
    <mergeCell ref="B234:B236"/>
    <mergeCell ref="C234:C235"/>
    <mergeCell ref="C236:D236"/>
    <mergeCell ref="B237:B238"/>
    <mergeCell ref="C238:D238"/>
    <mergeCell ref="C220:D220"/>
    <mergeCell ref="B221:B223"/>
    <mergeCell ref="C223:D223"/>
    <mergeCell ref="B224:B229"/>
    <mergeCell ref="C224:C226"/>
    <mergeCell ref="C227:C228"/>
    <mergeCell ref="C229:D229"/>
    <mergeCell ref="B230:B231"/>
    <mergeCell ref="C231:D231"/>
    <mergeCell ref="B232:B233"/>
    <mergeCell ref="B215:B220"/>
    <mergeCell ref="C215:C219"/>
  </mergeCells>
  <phoneticPr fontId="25" type="noConversion"/>
  <pageMargins left="0.69972223043441772" right="0.69972223043441772" top="0.75" bottom="0.75" header="0.30000001192092896" footer="0.300000011920928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/>
    <pageSetUpPr fitToPage="1"/>
  </sheetPr>
  <dimension ref="A1:N90"/>
  <sheetViews>
    <sheetView topLeftCell="A4" zoomScale="80" zoomScaleNormal="80" zoomScaleSheetLayoutView="75" workbookViewId="0">
      <selection activeCell="G19" sqref="G19"/>
    </sheetView>
  </sheetViews>
  <sheetFormatPr defaultColWidth="8.58203125" defaultRowHeight="17"/>
  <cols>
    <col min="1" max="1" width="11.08203125" style="2" customWidth="1"/>
    <col min="2" max="2" width="15.58203125" style="1" customWidth="1"/>
    <col min="3" max="3" width="23.33203125" style="1" customWidth="1"/>
    <col min="4" max="4" width="16.58203125" style="1" customWidth="1"/>
    <col min="5" max="5" width="17" style="1" customWidth="1"/>
    <col min="6" max="6" width="20" style="1" customWidth="1"/>
    <col min="7" max="7" width="19.83203125" style="1637" customWidth="1"/>
    <col min="8" max="8" width="10.75" style="68" customWidth="1"/>
    <col min="9" max="9" width="53.25" style="1" bestFit="1" customWidth="1"/>
    <col min="10" max="10" width="13" style="1" bestFit="1" customWidth="1"/>
    <col min="11" max="11" width="11.83203125" style="1" bestFit="1" customWidth="1"/>
  </cols>
  <sheetData>
    <row r="1" spans="1:11">
      <c r="A1" s="2011"/>
      <c r="B1" s="2011"/>
      <c r="C1" s="2011"/>
      <c r="D1" s="2011"/>
      <c r="E1" s="2011"/>
      <c r="F1" s="2011"/>
      <c r="G1" s="2011"/>
      <c r="H1" s="2011"/>
      <c r="I1" s="2011"/>
    </row>
    <row r="2" spans="1:11" ht="30">
      <c r="A2" s="1891" t="s">
        <v>264</v>
      </c>
      <c r="B2" s="1891"/>
      <c r="C2" s="1891"/>
      <c r="D2" s="1891"/>
      <c r="E2" s="1891"/>
      <c r="F2" s="1891"/>
      <c r="G2" s="1891"/>
      <c r="H2" s="1891"/>
      <c r="I2" s="1891"/>
    </row>
    <row r="3" spans="1:11" ht="32.15" customHeight="1">
      <c r="A3" s="2012" t="s">
        <v>538</v>
      </c>
      <c r="B3" s="2012"/>
      <c r="C3" s="2012"/>
      <c r="D3" s="2012"/>
      <c r="E3" s="2012"/>
      <c r="F3" s="2012"/>
      <c r="G3" s="2012"/>
      <c r="H3" s="2012"/>
      <c r="I3" s="2012"/>
    </row>
    <row r="4" spans="1:11" ht="26.15" customHeight="1">
      <c r="A4" s="2012"/>
      <c r="B4" s="2012"/>
      <c r="C4" s="2012"/>
      <c r="D4" s="2012"/>
      <c r="E4" s="2012"/>
      <c r="F4" s="2012"/>
      <c r="G4" s="2012"/>
      <c r="H4" s="2012"/>
      <c r="I4" s="2012"/>
    </row>
    <row r="5" spans="1:11" ht="21" thickBot="1">
      <c r="A5" s="1915" t="s">
        <v>18</v>
      </c>
      <c r="B5" s="1915"/>
      <c r="C5" s="1915"/>
      <c r="D5" s="1915"/>
      <c r="E5" s="1915"/>
      <c r="F5" s="1915"/>
      <c r="G5" s="1915"/>
      <c r="H5" s="1915"/>
      <c r="I5" s="1915"/>
    </row>
    <row r="6" spans="1:11" ht="19.149999999999999" customHeight="1">
      <c r="A6" s="2013" t="s">
        <v>156</v>
      </c>
      <c r="B6" s="1917"/>
      <c r="C6" s="1917"/>
      <c r="D6" s="1799" t="s">
        <v>283</v>
      </c>
      <c r="E6" s="1799" t="s">
        <v>49</v>
      </c>
      <c r="F6" s="1799" t="s">
        <v>44</v>
      </c>
      <c r="G6" s="1801" t="s">
        <v>108</v>
      </c>
      <c r="H6" s="1858" t="s">
        <v>186</v>
      </c>
      <c r="I6" s="1858" t="s">
        <v>146</v>
      </c>
    </row>
    <row r="7" spans="1:11" ht="18" thickBot="1">
      <c r="A7" s="72" t="s">
        <v>78</v>
      </c>
      <c r="B7" s="73" t="s">
        <v>88</v>
      </c>
      <c r="C7" s="73" t="s">
        <v>89</v>
      </c>
      <c r="D7" s="1800"/>
      <c r="E7" s="1800"/>
      <c r="F7" s="1800"/>
      <c r="G7" s="1802"/>
      <c r="H7" s="1859"/>
      <c r="I7" s="1859"/>
    </row>
    <row r="8" spans="1:11" s="420" customFormat="1" ht="26.25" customHeight="1">
      <c r="A8" s="1995" t="s">
        <v>221</v>
      </c>
      <c r="B8" s="418" t="s">
        <v>226</v>
      </c>
      <c r="C8" s="419" t="s">
        <v>145</v>
      </c>
      <c r="D8" s="914">
        <v>14000000</v>
      </c>
      <c r="E8" s="914">
        <v>16160127</v>
      </c>
      <c r="F8" s="914">
        <v>16160127</v>
      </c>
      <c r="G8" s="1667">
        <f>F8-D8</f>
        <v>2160127</v>
      </c>
      <c r="H8" s="306">
        <f>G8/D8*100%</f>
        <v>0.1542947857142857</v>
      </c>
      <c r="I8" s="931" t="s">
        <v>292</v>
      </c>
      <c r="J8" s="933"/>
    </row>
    <row r="9" spans="1:11" s="420" customFormat="1" ht="26.25" customHeight="1">
      <c r="A9" s="1862"/>
      <c r="B9" s="910"/>
      <c r="C9" s="910"/>
      <c r="D9" s="927">
        <v>0</v>
      </c>
      <c r="E9" s="928">
        <v>32800000</v>
      </c>
      <c r="F9" s="928">
        <v>32800000</v>
      </c>
      <c r="G9" s="1668">
        <f>F9-D9</f>
        <v>32800000</v>
      </c>
      <c r="H9" s="937">
        <v>0</v>
      </c>
      <c r="I9" s="932" t="s">
        <v>293</v>
      </c>
      <c r="J9" s="933"/>
    </row>
    <row r="10" spans="1:11" ht="26.25" customHeight="1" thickBot="1">
      <c r="A10" s="1996"/>
      <c r="B10" s="1993" t="s">
        <v>71</v>
      </c>
      <c r="C10" s="1994"/>
      <c r="D10" s="424">
        <f>SUM(D8:D9)</f>
        <v>14000000</v>
      </c>
      <c r="E10" s="443">
        <f t="shared" ref="E10:G10" si="0">SUM(E8:E9)</f>
        <v>48960127</v>
      </c>
      <c r="F10" s="443">
        <f t="shared" si="0"/>
        <v>48960127</v>
      </c>
      <c r="G10" s="1669">
        <f t="shared" si="0"/>
        <v>34960127</v>
      </c>
      <c r="H10" s="693">
        <f>G10/D10*100%</f>
        <v>2.4971519285714288</v>
      </c>
      <c r="I10" s="287"/>
    </row>
    <row r="11" spans="1:11" ht="20.25" customHeight="1">
      <c r="A11" s="1995" t="s">
        <v>164</v>
      </c>
      <c r="B11" s="421" t="s">
        <v>164</v>
      </c>
      <c r="C11" s="422" t="s">
        <v>102</v>
      </c>
      <c r="D11" s="1204">
        <v>90000000</v>
      </c>
      <c r="E11" s="351">
        <v>0</v>
      </c>
      <c r="F11" s="352">
        <v>0</v>
      </c>
      <c r="G11" s="1670">
        <f>F11-D11</f>
        <v>-90000000</v>
      </c>
      <c r="H11" s="353">
        <f>G11/D11*100%</f>
        <v>-1</v>
      </c>
      <c r="I11" s="290"/>
    </row>
    <row r="12" spans="1:11" ht="21.75" customHeight="1" thickBot="1">
      <c r="A12" s="1996"/>
      <c r="B12" s="1993" t="s">
        <v>71</v>
      </c>
      <c r="C12" s="1994"/>
      <c r="D12" s="425">
        <f>D11</f>
        <v>90000000</v>
      </c>
      <c r="E12" s="425">
        <f>E11</f>
        <v>0</v>
      </c>
      <c r="F12" s="426">
        <f>F11</f>
        <v>0</v>
      </c>
      <c r="G12" s="1671">
        <f t="shared" ref="G12:G25" si="1">F12-D12</f>
        <v>-90000000</v>
      </c>
      <c r="H12" s="427">
        <f>G12/D12*100%</f>
        <v>-1</v>
      </c>
      <c r="I12" s="354"/>
      <c r="K12" s="59"/>
    </row>
    <row r="13" spans="1:11" ht="16.5" customHeight="1">
      <c r="A13" s="1867" t="s">
        <v>229</v>
      </c>
      <c r="B13" s="2002" t="s">
        <v>244</v>
      </c>
      <c r="C13" s="422" t="s">
        <v>162</v>
      </c>
      <c r="D13" s="355">
        <v>0</v>
      </c>
      <c r="E13" s="355">
        <v>0</v>
      </c>
      <c r="F13" s="356">
        <v>0</v>
      </c>
      <c r="G13" s="1672">
        <v>0</v>
      </c>
      <c r="H13" s="527"/>
      <c r="I13" s="357"/>
    </row>
    <row r="14" spans="1:11" ht="34">
      <c r="A14" s="1862"/>
      <c r="B14" s="2003"/>
      <c r="C14" s="423" t="s">
        <v>174</v>
      </c>
      <c r="D14" s="924">
        <v>14439064</v>
      </c>
      <c r="E14" s="925">
        <v>12675776</v>
      </c>
      <c r="F14" s="926">
        <v>17439064</v>
      </c>
      <c r="G14" s="1673">
        <f>F14-D14</f>
        <v>3000000</v>
      </c>
      <c r="H14" s="317">
        <f t="shared" ref="H14:H16" si="2">G14/D14*100%</f>
        <v>0.20776970030744374</v>
      </c>
      <c r="I14" s="938" t="s">
        <v>516</v>
      </c>
      <c r="J14" s="934"/>
    </row>
    <row r="15" spans="1:11" ht="17.5" thickBot="1">
      <c r="A15" s="2001"/>
      <c r="B15" s="2008" t="s">
        <v>71</v>
      </c>
      <c r="C15" s="2009"/>
      <c r="D15" s="695">
        <f>SUM(D13:D14)</f>
        <v>14439064</v>
      </c>
      <c r="E15" s="695">
        <f t="shared" ref="E15:F15" si="3">SUM(E13:E14)</f>
        <v>12675776</v>
      </c>
      <c r="F15" s="695">
        <f t="shared" si="3"/>
        <v>17439064</v>
      </c>
      <c r="G15" s="1674">
        <f t="shared" si="1"/>
        <v>3000000</v>
      </c>
      <c r="H15" s="929">
        <f t="shared" si="2"/>
        <v>0.20776970030744374</v>
      </c>
      <c r="I15" s="913"/>
    </row>
    <row r="16" spans="1:11">
      <c r="A16" s="1873" t="s">
        <v>290</v>
      </c>
      <c r="B16" s="920" t="s">
        <v>291</v>
      </c>
      <c r="C16" s="920" t="s">
        <v>310</v>
      </c>
      <c r="D16" s="921">
        <v>235200000</v>
      </c>
      <c r="E16" s="531">
        <v>0</v>
      </c>
      <c r="F16" s="531">
        <v>0</v>
      </c>
      <c r="G16" s="1675">
        <f t="shared" si="1"/>
        <v>-235200000</v>
      </c>
      <c r="H16" s="917">
        <f t="shared" si="2"/>
        <v>-1</v>
      </c>
      <c r="I16" s="324"/>
    </row>
    <row r="17" spans="1:10" ht="17.5" thickBot="1">
      <c r="A17" s="1874"/>
      <c r="B17" s="1979" t="s">
        <v>71</v>
      </c>
      <c r="C17" s="1980"/>
      <c r="D17" s="442">
        <f>D16</f>
        <v>235200000</v>
      </c>
      <c r="E17" s="442">
        <f>E16</f>
        <v>0</v>
      </c>
      <c r="F17" s="442">
        <f>F16</f>
        <v>0</v>
      </c>
      <c r="G17" s="1676">
        <f>G16</f>
        <v>-235200000</v>
      </c>
      <c r="H17" s="703">
        <f>H16</f>
        <v>-1</v>
      </c>
      <c r="I17" s="692"/>
    </row>
    <row r="18" spans="1:10" ht="34">
      <c r="A18" s="2010" t="s">
        <v>69</v>
      </c>
      <c r="B18" s="918" t="s">
        <v>69</v>
      </c>
      <c r="C18" s="918" t="s">
        <v>69</v>
      </c>
      <c r="D18" s="919">
        <v>0</v>
      </c>
      <c r="E18" s="922">
        <v>95272000</v>
      </c>
      <c r="F18" s="1372">
        <v>1195272000</v>
      </c>
      <c r="G18" s="1677">
        <f>F18-D18</f>
        <v>1195272000</v>
      </c>
      <c r="H18" s="429"/>
      <c r="I18" s="935" t="s">
        <v>539</v>
      </c>
      <c r="J18" s="934"/>
    </row>
    <row r="19" spans="1:10" ht="17.5" thickBot="1">
      <c r="A19" s="1874"/>
      <c r="B19" s="1979" t="s">
        <v>71</v>
      </c>
      <c r="C19" s="1980"/>
      <c r="D19" s="442">
        <f>D18</f>
        <v>0</v>
      </c>
      <c r="E19" s="442">
        <f>E18</f>
        <v>95272000</v>
      </c>
      <c r="F19" s="442">
        <f>F18</f>
        <v>1195272000</v>
      </c>
      <c r="G19" s="1676">
        <f>G18</f>
        <v>1195272000</v>
      </c>
      <c r="H19" s="430"/>
      <c r="I19" s="692"/>
    </row>
    <row r="20" spans="1:10">
      <c r="A20" s="1999" t="s">
        <v>74</v>
      </c>
      <c r="B20" s="2004" t="s">
        <v>74</v>
      </c>
      <c r="C20" s="526" t="s">
        <v>159</v>
      </c>
      <c r="D20" s="923">
        <v>8646091</v>
      </c>
      <c r="E20" s="923">
        <v>8646091</v>
      </c>
      <c r="F20" s="923">
        <v>8646091</v>
      </c>
      <c r="G20" s="1678">
        <f t="shared" si="1"/>
        <v>0</v>
      </c>
      <c r="H20" s="429">
        <f>G20/D20*100%</f>
        <v>0</v>
      </c>
      <c r="I20" s="358"/>
    </row>
    <row r="21" spans="1:10" ht="18.75" customHeight="1">
      <c r="A21" s="2000"/>
      <c r="B21" s="2005"/>
      <c r="C21" s="423" t="s">
        <v>101</v>
      </c>
      <c r="D21" s="916">
        <v>842</v>
      </c>
      <c r="E21" s="916">
        <v>842</v>
      </c>
      <c r="F21" s="916">
        <v>842</v>
      </c>
      <c r="G21" s="1679">
        <f t="shared" si="1"/>
        <v>0</v>
      </c>
      <c r="H21" s="429">
        <f t="shared" ref="H21:H22" si="4">G21/D21*100%</f>
        <v>0</v>
      </c>
      <c r="I21" s="358"/>
    </row>
    <row r="22" spans="1:10" ht="17.5" thickBot="1">
      <c r="A22" s="2006"/>
      <c r="B22" s="2007" t="s">
        <v>71</v>
      </c>
      <c r="C22" s="2007"/>
      <c r="D22" s="428">
        <f>SUM(D20:D21)</f>
        <v>8646933</v>
      </c>
      <c r="E22" s="428">
        <f t="shared" ref="E22:F22" si="5">SUM(E20:E21)</f>
        <v>8646933</v>
      </c>
      <c r="F22" s="428">
        <f t="shared" si="5"/>
        <v>8646933</v>
      </c>
      <c r="G22" s="1680">
        <f t="shared" si="1"/>
        <v>0</v>
      </c>
      <c r="H22" s="430">
        <f t="shared" si="4"/>
        <v>0</v>
      </c>
      <c r="I22" s="359"/>
    </row>
    <row r="23" spans="1:10" ht="24.75" customHeight="1">
      <c r="A23" s="1999" t="s">
        <v>61</v>
      </c>
      <c r="B23" s="1997" t="s">
        <v>61</v>
      </c>
      <c r="C23" s="686" t="s">
        <v>118</v>
      </c>
      <c r="D23" s="923">
        <v>9000000</v>
      </c>
      <c r="E23" s="923">
        <v>5439942</v>
      </c>
      <c r="F23" s="923">
        <f>5439942+2928429</f>
        <v>8368371</v>
      </c>
      <c r="G23" s="1681">
        <f t="shared" si="1"/>
        <v>-631629</v>
      </c>
      <c r="H23" s="299">
        <f>G23/D23*100%</f>
        <v>-7.0180999999999993E-2</v>
      </c>
      <c r="I23" s="936" t="s">
        <v>294</v>
      </c>
      <c r="J23" s="934"/>
    </row>
    <row r="24" spans="1:10" ht="22" customHeight="1">
      <c r="A24" s="2000"/>
      <c r="B24" s="1997"/>
      <c r="C24" s="684" t="s">
        <v>278</v>
      </c>
      <c r="D24" s="136">
        <v>0</v>
      </c>
      <c r="E24" s="136">
        <v>0</v>
      </c>
      <c r="F24" s="55">
        <v>0</v>
      </c>
      <c r="G24" s="1673">
        <f t="shared" si="1"/>
        <v>0</v>
      </c>
      <c r="H24" s="299"/>
      <c r="I24" s="360"/>
    </row>
    <row r="25" spans="1:10" ht="31.9" customHeight="1">
      <c r="A25" s="2000"/>
      <c r="B25" s="1998"/>
      <c r="C25" s="685" t="s">
        <v>171</v>
      </c>
      <c r="D25" s="924">
        <v>7000000</v>
      </c>
      <c r="E25" s="925">
        <v>11608475</v>
      </c>
      <c r="F25" s="926">
        <v>11608475</v>
      </c>
      <c r="G25" s="1673">
        <f t="shared" si="1"/>
        <v>4608475</v>
      </c>
      <c r="H25" s="299">
        <f t="shared" ref="H25:H26" si="6">G25/D25*100%</f>
        <v>0.65835357142857143</v>
      </c>
      <c r="I25" s="930" t="s">
        <v>295</v>
      </c>
    </row>
    <row r="26" spans="1:10" ht="28.9" customHeight="1" thickBot="1">
      <c r="A26" s="2000"/>
      <c r="B26" s="1958" t="s">
        <v>71</v>
      </c>
      <c r="C26" s="1967"/>
      <c r="D26" s="431">
        <f>SUM(D23:D25)</f>
        <v>16000000</v>
      </c>
      <c r="E26" s="431">
        <f t="shared" ref="E26:F26" si="7">SUM(E23:E25)</f>
        <v>17048417</v>
      </c>
      <c r="F26" s="431">
        <f t="shared" si="7"/>
        <v>19976846</v>
      </c>
      <c r="G26" s="1682">
        <f>SUM(G23:G25)</f>
        <v>3976846</v>
      </c>
      <c r="H26" s="432">
        <f t="shared" si="6"/>
        <v>0.24855287500000001</v>
      </c>
      <c r="I26" s="361"/>
    </row>
    <row r="27" spans="1:10" ht="17.5" thickBot="1">
      <c r="A27" s="1990" t="s">
        <v>76</v>
      </c>
      <c r="B27" s="1991"/>
      <c r="C27" s="1992"/>
      <c r="D27" s="433">
        <f>SUM(D10,D12,D15,D17,D22,D26)</f>
        <v>378285997</v>
      </c>
      <c r="E27" s="433">
        <f>SUM(E10,E12,E15,E19,E22,E26)</f>
        <v>182603253</v>
      </c>
      <c r="F27" s="433">
        <f>SUM(F10,F12,F15,F19,F22,F26)</f>
        <v>1290294970</v>
      </c>
      <c r="G27" s="1683">
        <f>SUM(G10,G12,G15,G17,G19,G22,G26)</f>
        <v>912008973</v>
      </c>
      <c r="H27" s="434">
        <f>G27/D27*100%</f>
        <v>2.4108980512963583</v>
      </c>
      <c r="I27" s="362"/>
      <c r="J27" s="59"/>
    </row>
    <row r="28" spans="1:10" ht="21.5" thickBot="1">
      <c r="A28" s="2016" t="s">
        <v>10</v>
      </c>
      <c r="B28" s="2017"/>
      <c r="C28" s="2017"/>
      <c r="D28" s="2017"/>
      <c r="E28" s="2017"/>
      <c r="F28" s="2017"/>
      <c r="G28" s="2017"/>
      <c r="H28" s="2017"/>
      <c r="I28" s="2018"/>
    </row>
    <row r="29" spans="1:10" ht="17.5" customHeight="1">
      <c r="A29" s="2019" t="s">
        <v>156</v>
      </c>
      <c r="B29" s="2020"/>
      <c r="C29" s="2020"/>
      <c r="D29" s="1984" t="s">
        <v>283</v>
      </c>
      <c r="E29" s="1984" t="s">
        <v>296</v>
      </c>
      <c r="F29" s="1799" t="s">
        <v>44</v>
      </c>
      <c r="G29" s="2021" t="s">
        <v>108</v>
      </c>
      <c r="H29" s="2023" t="s">
        <v>186</v>
      </c>
      <c r="I29" s="2023" t="s">
        <v>146</v>
      </c>
    </row>
    <row r="30" spans="1:10" ht="18" customHeight="1" thickBot="1">
      <c r="A30" s="547" t="s">
        <v>78</v>
      </c>
      <c r="B30" s="548" t="s">
        <v>88</v>
      </c>
      <c r="C30" s="548" t="s">
        <v>89</v>
      </c>
      <c r="D30" s="1985"/>
      <c r="E30" s="1985"/>
      <c r="F30" s="1800"/>
      <c r="G30" s="2022"/>
      <c r="H30" s="2024"/>
      <c r="I30" s="2024"/>
    </row>
    <row r="31" spans="1:10" ht="34">
      <c r="A31" s="952" t="s">
        <v>93</v>
      </c>
      <c r="B31" s="1986" t="s">
        <v>62</v>
      </c>
      <c r="C31" s="222" t="s">
        <v>91</v>
      </c>
      <c r="D31" s="939">
        <v>76230000</v>
      </c>
      <c r="E31" s="923">
        <v>27872900</v>
      </c>
      <c r="F31" s="923">
        <f>27872900+(2065940*2)</f>
        <v>32004780</v>
      </c>
      <c r="G31" s="1678">
        <f>F31-D31</f>
        <v>-44225220</v>
      </c>
      <c r="H31" s="370">
        <f>G31/D31*100%</f>
        <v>-0.58015505706414794</v>
      </c>
      <c r="I31" s="942" t="s">
        <v>297</v>
      </c>
    </row>
    <row r="32" spans="1:10">
      <c r="A32" s="952"/>
      <c r="B32" s="1986"/>
      <c r="C32" s="223" t="s">
        <v>158</v>
      </c>
      <c r="D32" s="940">
        <v>4466159</v>
      </c>
      <c r="E32" s="923">
        <v>4466159</v>
      </c>
      <c r="F32" s="923">
        <v>4466159</v>
      </c>
      <c r="G32" s="1679">
        <f t="shared" ref="G32:G54" si="8">F32-D32</f>
        <v>0</v>
      </c>
      <c r="H32" s="363">
        <f t="shared" ref="H32:H35" si="9">G32/D32*100%</f>
        <v>0</v>
      </c>
      <c r="I32" s="364"/>
    </row>
    <row r="33" spans="1:14">
      <c r="A33" s="952"/>
      <c r="B33" s="1986"/>
      <c r="C33" s="223" t="s">
        <v>181</v>
      </c>
      <c r="D33" s="939">
        <v>7360000</v>
      </c>
      <c r="E33" s="923">
        <v>2696180</v>
      </c>
      <c r="F33" s="923">
        <v>3200000</v>
      </c>
      <c r="G33" s="1679">
        <f t="shared" si="8"/>
        <v>-4160000</v>
      </c>
      <c r="H33" s="363">
        <f t="shared" si="9"/>
        <v>-0.56521739130434778</v>
      </c>
      <c r="I33" s="365"/>
      <c r="N33" s="41"/>
    </row>
    <row r="34" spans="1:14">
      <c r="A34" s="952"/>
      <c r="B34" s="1986"/>
      <c r="C34" s="223" t="s">
        <v>176</v>
      </c>
      <c r="D34" s="941">
        <v>120000</v>
      </c>
      <c r="E34" s="915">
        <v>20000</v>
      </c>
      <c r="F34" s="915">
        <v>20000</v>
      </c>
      <c r="G34" s="1679">
        <f t="shared" si="8"/>
        <v>-100000</v>
      </c>
      <c r="H34" s="363">
        <f t="shared" si="9"/>
        <v>-0.83333333333333337</v>
      </c>
      <c r="I34" s="366"/>
    </row>
    <row r="35" spans="1:14" ht="17.5" thickBot="1">
      <c r="A35" s="952"/>
      <c r="B35" s="1989"/>
      <c r="C35" s="227" t="s">
        <v>71</v>
      </c>
      <c r="D35" s="367">
        <f>SUM(D31:D34)</f>
        <v>88176159</v>
      </c>
      <c r="E35" s="438">
        <f t="shared" ref="E35:G35" si="10">SUM(E31:E34)</f>
        <v>35055239</v>
      </c>
      <c r="F35" s="438">
        <f t="shared" si="10"/>
        <v>39690939</v>
      </c>
      <c r="G35" s="1684">
        <f t="shared" si="10"/>
        <v>-48485220</v>
      </c>
      <c r="H35" s="950">
        <f t="shared" si="9"/>
        <v>-0.54986768021954779</v>
      </c>
      <c r="I35" s="368"/>
    </row>
    <row r="36" spans="1:14">
      <c r="A36" s="952"/>
      <c r="B36" s="1988" t="s">
        <v>193</v>
      </c>
      <c r="C36" s="226" t="s">
        <v>148</v>
      </c>
      <c r="D36" s="943">
        <v>500000</v>
      </c>
      <c r="E36" s="945">
        <v>562300</v>
      </c>
      <c r="F36" s="945">
        <v>1000000</v>
      </c>
      <c r="G36" s="1672">
        <f t="shared" si="8"/>
        <v>500000</v>
      </c>
      <c r="H36" s="435">
        <f>G36/D36*100%</f>
        <v>1</v>
      </c>
      <c r="I36" s="946" t="s">
        <v>298</v>
      </c>
    </row>
    <row r="37" spans="1:14">
      <c r="A37" s="952"/>
      <c r="B37" s="1986"/>
      <c r="C37" s="223" t="s">
        <v>83</v>
      </c>
      <c r="D37" s="944">
        <v>600000</v>
      </c>
      <c r="E37" s="915">
        <v>536600</v>
      </c>
      <c r="F37" s="944">
        <v>700000</v>
      </c>
      <c r="G37" s="1679">
        <f t="shared" si="8"/>
        <v>100000</v>
      </c>
      <c r="H37" s="436">
        <f t="shared" ref="H37:H38" si="11">G37/D37*100%</f>
        <v>0.16666666666666666</v>
      </c>
      <c r="I37" s="947" t="s">
        <v>299</v>
      </c>
    </row>
    <row r="38" spans="1:14" ht="17.5" thickBot="1">
      <c r="A38" s="952"/>
      <c r="B38" s="1989"/>
      <c r="C38" s="227" t="s">
        <v>71</v>
      </c>
      <c r="D38" s="367">
        <f>SUM(D36:D37)</f>
        <v>1100000</v>
      </c>
      <c r="E38" s="438">
        <f t="shared" ref="E38:G38" si="12">SUM(E36:E37)</f>
        <v>1098900</v>
      </c>
      <c r="F38" s="438">
        <f t="shared" si="12"/>
        <v>1700000</v>
      </c>
      <c r="G38" s="1684">
        <f t="shared" si="12"/>
        <v>600000</v>
      </c>
      <c r="H38" s="949">
        <f t="shared" si="11"/>
        <v>0.54545454545454541</v>
      </c>
      <c r="I38" s="369"/>
    </row>
    <row r="39" spans="1:14">
      <c r="A39" s="952"/>
      <c r="B39" s="1986" t="s">
        <v>77</v>
      </c>
      <c r="C39" s="222" t="s">
        <v>60</v>
      </c>
      <c r="D39" s="948">
        <v>100000</v>
      </c>
      <c r="E39" s="951">
        <v>11100</v>
      </c>
      <c r="F39" s="948">
        <v>100000</v>
      </c>
      <c r="G39" s="1678">
        <f t="shared" si="8"/>
        <v>0</v>
      </c>
      <c r="H39" s="370">
        <f>G39/D39*100%</f>
        <v>0</v>
      </c>
      <c r="I39" s="371"/>
    </row>
    <row r="40" spans="1:14">
      <c r="A40" s="952"/>
      <c r="B40" s="1986"/>
      <c r="C40" s="223" t="s">
        <v>173</v>
      </c>
      <c r="D40" s="939">
        <v>4200000</v>
      </c>
      <c r="E40" s="923">
        <v>3792420</v>
      </c>
      <c r="F40" s="939">
        <v>4200000</v>
      </c>
      <c r="G40" s="1679">
        <f t="shared" si="8"/>
        <v>0</v>
      </c>
      <c r="H40" s="370">
        <f t="shared" ref="H40:H47" si="13">G40/D40*100%</f>
        <v>0</v>
      </c>
      <c r="I40" s="365"/>
    </row>
    <row r="41" spans="1:14">
      <c r="A41" s="952"/>
      <c r="B41" s="1986"/>
      <c r="C41" s="223" t="s">
        <v>161</v>
      </c>
      <c r="D41" s="939">
        <v>200000</v>
      </c>
      <c r="E41" s="923">
        <v>200603</v>
      </c>
      <c r="F41" s="923">
        <v>1700000</v>
      </c>
      <c r="G41" s="1679">
        <f t="shared" si="8"/>
        <v>1500000</v>
      </c>
      <c r="H41" s="370">
        <f t="shared" si="13"/>
        <v>7.5</v>
      </c>
      <c r="I41" s="954" t="s">
        <v>300</v>
      </c>
    </row>
    <row r="42" spans="1:14">
      <c r="A42" s="952"/>
      <c r="B42" s="1986"/>
      <c r="C42" s="223" t="s">
        <v>168</v>
      </c>
      <c r="D42" s="939">
        <v>46300000</v>
      </c>
      <c r="E42" s="923">
        <v>31678368</v>
      </c>
      <c r="F42" s="923">
        <v>33000000</v>
      </c>
      <c r="G42" s="1679">
        <f t="shared" si="8"/>
        <v>-13300000</v>
      </c>
      <c r="H42" s="370">
        <f t="shared" si="13"/>
        <v>-0.28725701943844495</v>
      </c>
      <c r="I42" s="954" t="s">
        <v>301</v>
      </c>
    </row>
    <row r="43" spans="1:14">
      <c r="A43" s="952"/>
      <c r="B43" s="1986"/>
      <c r="C43" s="223" t="s">
        <v>151</v>
      </c>
      <c r="D43" s="940">
        <v>100000</v>
      </c>
      <c r="E43" s="923">
        <v>40000000</v>
      </c>
      <c r="F43" s="923">
        <v>40000000</v>
      </c>
      <c r="G43" s="1679">
        <f t="shared" si="8"/>
        <v>39900000</v>
      </c>
      <c r="H43" s="370">
        <f t="shared" si="13"/>
        <v>399</v>
      </c>
      <c r="I43" s="955" t="s">
        <v>302</v>
      </c>
    </row>
    <row r="44" spans="1:14">
      <c r="A44" s="952"/>
      <c r="B44" s="1987"/>
      <c r="C44" s="282" t="s">
        <v>71</v>
      </c>
      <c r="D44" s="372">
        <f>SUM(D39:D43)</f>
        <v>50900000</v>
      </c>
      <c r="E44" s="437">
        <f t="shared" ref="E44:G44" si="14">SUM(E39:E43)</f>
        <v>75682491</v>
      </c>
      <c r="F44" s="437">
        <f t="shared" si="14"/>
        <v>79000000</v>
      </c>
      <c r="G44" s="1685">
        <f t="shared" si="14"/>
        <v>28100000</v>
      </c>
      <c r="H44" s="439">
        <f t="shared" si="13"/>
        <v>0.5520628683693517</v>
      </c>
      <c r="I44" s="373"/>
    </row>
    <row r="45" spans="1:14" ht="17.5" thickBot="1">
      <c r="A45" s="953"/>
      <c r="B45" s="1958" t="s">
        <v>71</v>
      </c>
      <c r="C45" s="1974"/>
      <c r="D45" s="367">
        <f>SUM(D35,D38,D44)</f>
        <v>140176159</v>
      </c>
      <c r="E45" s="438">
        <f>SUM(E35,E38,E44)</f>
        <v>111836630</v>
      </c>
      <c r="F45" s="438">
        <f t="shared" ref="F45:G45" si="15">SUM(F35,F38,F44)</f>
        <v>120390939</v>
      </c>
      <c r="G45" s="1684">
        <f t="shared" si="15"/>
        <v>-19785220</v>
      </c>
      <c r="H45" s="959">
        <f t="shared" si="13"/>
        <v>-0.14114539976801618</v>
      </c>
      <c r="I45" s="369"/>
    </row>
    <row r="46" spans="1:14" ht="51.5" thickBot="1">
      <c r="A46" s="1981" t="s">
        <v>303</v>
      </c>
      <c r="B46" s="964" t="s">
        <v>304</v>
      </c>
      <c r="C46" s="963" t="s">
        <v>304</v>
      </c>
      <c r="D46" s="962">
        <v>235000000</v>
      </c>
      <c r="E46" s="958">
        <v>0</v>
      </c>
      <c r="F46" s="958">
        <v>0</v>
      </c>
      <c r="G46" s="1681">
        <f t="shared" si="8"/>
        <v>-235000000</v>
      </c>
      <c r="H46" s="959">
        <f t="shared" si="13"/>
        <v>-1</v>
      </c>
      <c r="I46" s="960" t="s">
        <v>305</v>
      </c>
      <c r="J46" s="934"/>
    </row>
    <row r="47" spans="1:14" ht="17.5" thickBot="1">
      <c r="A47" s="1875"/>
      <c r="B47" s="1982" t="s">
        <v>71</v>
      </c>
      <c r="C47" s="1983"/>
      <c r="D47" s="961">
        <f>D46</f>
        <v>235000000</v>
      </c>
      <c r="E47" s="428">
        <f>E46</f>
        <v>0</v>
      </c>
      <c r="F47" s="428">
        <f>F46</f>
        <v>0</v>
      </c>
      <c r="G47" s="1686">
        <f>G46</f>
        <v>-235000000</v>
      </c>
      <c r="H47" s="959">
        <f t="shared" si="13"/>
        <v>-1</v>
      </c>
      <c r="I47" s="369"/>
      <c r="J47" s="934"/>
    </row>
    <row r="48" spans="1:14">
      <c r="A48" s="2010" t="s">
        <v>75</v>
      </c>
      <c r="B48" s="909" t="s">
        <v>75</v>
      </c>
      <c r="C48" s="965" t="s">
        <v>306</v>
      </c>
      <c r="D48" s="263">
        <v>0</v>
      </c>
      <c r="E48" s="956">
        <v>0</v>
      </c>
      <c r="F48" s="966">
        <v>10000000</v>
      </c>
      <c r="G48" s="1681">
        <f t="shared" si="8"/>
        <v>10000000</v>
      </c>
      <c r="H48" s="957"/>
      <c r="I48" s="1387" t="s">
        <v>307</v>
      </c>
    </row>
    <row r="49" spans="1:9" ht="17.5" thickBot="1">
      <c r="A49" s="1874"/>
      <c r="B49" s="1958" t="s">
        <v>71</v>
      </c>
      <c r="C49" s="1974"/>
      <c r="D49" s="967">
        <f>SUM(D48:D48)</f>
        <v>0</v>
      </c>
      <c r="E49" s="968">
        <f>SUM(E48:E48)</f>
        <v>0</v>
      </c>
      <c r="F49" s="968">
        <f>SUM(F48:F48)</f>
        <v>10000000</v>
      </c>
      <c r="G49" s="1687">
        <f>SUM(G48:G48)</f>
        <v>10000000</v>
      </c>
      <c r="H49" s="271"/>
      <c r="I49" s="274"/>
    </row>
    <row r="50" spans="1:9" ht="17.5" thickBot="1">
      <c r="A50" s="1873" t="s">
        <v>80</v>
      </c>
      <c r="B50" s="226" t="s">
        <v>80</v>
      </c>
      <c r="C50" s="226" t="s">
        <v>80</v>
      </c>
      <c r="D50" s="943">
        <v>50000</v>
      </c>
      <c r="E50" s="440">
        <v>0</v>
      </c>
      <c r="F50" s="943">
        <v>50000</v>
      </c>
      <c r="G50" s="1688">
        <f t="shared" si="8"/>
        <v>0</v>
      </c>
      <c r="H50" s="278">
        <f>G50/D50*100%</f>
        <v>0</v>
      </c>
      <c r="I50" s="285"/>
    </row>
    <row r="51" spans="1:9">
      <c r="A51" s="1874"/>
      <c r="B51" s="1958" t="s">
        <v>71</v>
      </c>
      <c r="C51" s="1974"/>
      <c r="D51" s="262">
        <f>D50</f>
        <v>50000</v>
      </c>
      <c r="E51" s="441">
        <f t="shared" ref="E51:G51" si="16">E50</f>
        <v>0</v>
      </c>
      <c r="F51" s="262">
        <f t="shared" si="16"/>
        <v>50000</v>
      </c>
      <c r="G51" s="1689">
        <f t="shared" si="16"/>
        <v>0</v>
      </c>
      <c r="H51" s="278">
        <f>G51/D51*100%</f>
        <v>0</v>
      </c>
      <c r="I51" s="274"/>
    </row>
    <row r="52" spans="1:9">
      <c r="A52" s="1873" t="s">
        <v>79</v>
      </c>
      <c r="B52" s="226" t="s">
        <v>131</v>
      </c>
      <c r="C52" s="226" t="s">
        <v>79</v>
      </c>
      <c r="D52" s="922">
        <v>100000</v>
      </c>
      <c r="E52" s="300"/>
      <c r="F52" s="922">
        <v>100000</v>
      </c>
      <c r="G52" s="1688">
        <f t="shared" si="8"/>
        <v>0</v>
      </c>
      <c r="H52" s="278">
        <f>G52/D52*100%</f>
        <v>0</v>
      </c>
      <c r="I52" s="58"/>
    </row>
    <row r="53" spans="1:9">
      <c r="A53" s="1874"/>
      <c r="B53" s="227" t="s">
        <v>71</v>
      </c>
      <c r="C53" s="227"/>
      <c r="D53" s="69">
        <f>D52</f>
        <v>100000</v>
      </c>
      <c r="E53" s="442">
        <f t="shared" ref="E53:G53" si="17">E52</f>
        <v>0</v>
      </c>
      <c r="F53" s="442">
        <f t="shared" si="17"/>
        <v>100000</v>
      </c>
      <c r="G53" s="1690">
        <f t="shared" si="17"/>
        <v>0</v>
      </c>
      <c r="H53" s="551">
        <f>G53/D53*100%</f>
        <v>0</v>
      </c>
      <c r="I53" s="70"/>
    </row>
    <row r="54" spans="1:9" ht="17.149999999999999" customHeight="1">
      <c r="A54" s="2010" t="s">
        <v>165</v>
      </c>
      <c r="B54" s="280" t="s">
        <v>165</v>
      </c>
      <c r="C54" s="280" t="s">
        <v>282</v>
      </c>
      <c r="D54" s="915">
        <v>2959838</v>
      </c>
      <c r="E54" s="915">
        <v>70766623</v>
      </c>
      <c r="F54" s="915">
        <f>F27-(F53+F51+F49+F45)</f>
        <v>1159754031</v>
      </c>
      <c r="G54" s="1681">
        <f t="shared" si="8"/>
        <v>1156794193</v>
      </c>
      <c r="H54" s="271">
        <f>G54/D54*100%</f>
        <v>390.83023901983825</v>
      </c>
      <c r="I54" s="281"/>
    </row>
    <row r="55" spans="1:9">
      <c r="A55" s="2010"/>
      <c r="B55" s="228" t="s">
        <v>71</v>
      </c>
      <c r="C55" s="228"/>
      <c r="D55" s="147">
        <f>D54</f>
        <v>2959838</v>
      </c>
      <c r="E55" s="147">
        <f t="shared" ref="E55:G55" si="18">E54</f>
        <v>70766623</v>
      </c>
      <c r="F55" s="147">
        <f t="shared" si="18"/>
        <v>1159754031</v>
      </c>
      <c r="G55" s="1691">
        <f t="shared" si="18"/>
        <v>1156794193</v>
      </c>
      <c r="H55" s="460">
        <f t="shared" ref="H55:H56" si="19">G55/D55*100%</f>
        <v>390.83023901983825</v>
      </c>
      <c r="I55" s="148"/>
    </row>
    <row r="56" spans="1:9">
      <c r="A56" s="2014" t="s">
        <v>76</v>
      </c>
      <c r="B56" s="2015"/>
      <c r="C56" s="2015"/>
      <c r="D56" s="150">
        <f>SUM(D45,D47,D49,D51,D53,D55)</f>
        <v>378285997</v>
      </c>
      <c r="E56" s="150">
        <f>SUM(E45,E49,E51,E53,E55)</f>
        <v>182603253</v>
      </c>
      <c r="F56" s="150">
        <f>SUM(F45,F49,F51,F53,F55)</f>
        <v>1290294970</v>
      </c>
      <c r="G56" s="1692">
        <f>SUM(G45,G47,G49,G51,G53,G55)</f>
        <v>912008973</v>
      </c>
      <c r="H56" s="465">
        <f t="shared" si="19"/>
        <v>2.4108980512963583</v>
      </c>
      <c r="I56" s="149"/>
    </row>
    <row r="57" spans="1:9">
      <c r="A57" s="461"/>
      <c r="B57" s="462"/>
      <c r="C57" s="463"/>
      <c r="D57" s="462"/>
      <c r="E57" s="462"/>
      <c r="F57" s="549"/>
      <c r="G57" s="1693"/>
      <c r="H57" s="464"/>
      <c r="I57" s="463"/>
    </row>
    <row r="58" spans="1:9">
      <c r="A58" s="445"/>
      <c r="B58" s="449"/>
      <c r="C58" s="452"/>
      <c r="D58" s="449"/>
      <c r="E58" s="449"/>
      <c r="F58" s="466"/>
      <c r="G58" s="1694"/>
      <c r="H58" s="457"/>
      <c r="I58" s="459"/>
    </row>
    <row r="59" spans="1:9">
      <c r="A59" s="444"/>
      <c r="B59" s="448"/>
      <c r="C59" s="451"/>
      <c r="D59" s="448"/>
      <c r="E59" s="448"/>
      <c r="F59" s="466"/>
      <c r="G59" s="1695"/>
      <c r="H59" s="456"/>
      <c r="I59" s="448"/>
    </row>
    <row r="60" spans="1:9">
      <c r="A60" s="444"/>
      <c r="B60" s="448"/>
      <c r="C60" s="451"/>
      <c r="D60" s="448"/>
      <c r="E60" s="448"/>
      <c r="F60" s="448"/>
      <c r="G60" s="1695"/>
      <c r="H60" s="456"/>
      <c r="I60" s="451"/>
    </row>
    <row r="61" spans="1:9">
      <c r="A61" s="446"/>
      <c r="B61" s="450"/>
      <c r="C61" s="453"/>
      <c r="D61" s="450"/>
      <c r="E61" s="450"/>
      <c r="F61" s="450"/>
      <c r="G61" s="1696"/>
      <c r="H61" s="458"/>
      <c r="I61" s="453"/>
    </row>
    <row r="62" spans="1:9">
      <c r="A62" s="446"/>
      <c r="B62" s="450"/>
      <c r="C62" s="453"/>
      <c r="D62" s="450"/>
      <c r="E62" s="450"/>
      <c r="F62" s="450"/>
      <c r="G62" s="1696"/>
      <c r="H62" s="458"/>
      <c r="I62" s="453"/>
    </row>
    <row r="63" spans="1:9">
      <c r="A63" s="447"/>
      <c r="B63" s="12"/>
      <c r="C63" s="454"/>
      <c r="D63" s="455"/>
      <c r="E63" s="12"/>
      <c r="F63" s="12"/>
      <c r="G63" s="1636"/>
      <c r="H63" s="67"/>
      <c r="I63" s="12"/>
    </row>
    <row r="64" spans="1:9">
      <c r="A64" s="11"/>
      <c r="B64" s="12"/>
      <c r="C64" s="12"/>
      <c r="D64" s="12"/>
      <c r="E64" s="12"/>
      <c r="F64" s="12"/>
      <c r="G64" s="1636"/>
      <c r="H64" s="67"/>
      <c r="I64" s="12"/>
    </row>
    <row r="65" spans="1:9">
      <c r="A65" s="11"/>
      <c r="B65" s="12"/>
      <c r="C65" s="12"/>
      <c r="D65" s="12"/>
      <c r="E65" s="12"/>
      <c r="F65" s="12"/>
      <c r="G65" s="1636"/>
      <c r="H65" s="67"/>
      <c r="I65" s="12"/>
    </row>
    <row r="66" spans="1:9">
      <c r="A66" s="11"/>
      <c r="B66" s="12"/>
      <c r="C66" s="12"/>
      <c r="D66" s="12"/>
      <c r="E66" s="12"/>
      <c r="F66" s="12"/>
      <c r="G66" s="1636"/>
      <c r="H66" s="67"/>
      <c r="I66" s="12"/>
    </row>
    <row r="67" spans="1:9">
      <c r="A67" s="11"/>
      <c r="B67" s="12"/>
      <c r="C67" s="12"/>
      <c r="D67" s="12"/>
      <c r="E67" s="12"/>
      <c r="F67" s="12"/>
      <c r="G67" s="1636"/>
      <c r="H67" s="67"/>
      <c r="I67" s="12"/>
    </row>
    <row r="68" spans="1:9">
      <c r="A68" s="11"/>
      <c r="B68" s="12"/>
      <c r="C68" s="12"/>
      <c r="D68" s="12"/>
      <c r="E68" s="12"/>
      <c r="F68" s="12"/>
      <c r="G68" s="1636"/>
      <c r="H68" s="67"/>
      <c r="I68" s="12"/>
    </row>
    <row r="69" spans="1:9">
      <c r="A69" s="11"/>
      <c r="B69" s="12"/>
      <c r="C69" s="12"/>
      <c r="D69" s="12"/>
      <c r="E69" s="12"/>
      <c r="F69" s="12"/>
      <c r="G69" s="1636"/>
      <c r="H69" s="67"/>
      <c r="I69" s="12"/>
    </row>
    <row r="70" spans="1:9">
      <c r="A70" s="11"/>
      <c r="B70" s="12"/>
      <c r="C70" s="12"/>
      <c r="D70" s="12"/>
      <c r="E70" s="12"/>
      <c r="F70" s="12"/>
      <c r="G70" s="1636"/>
      <c r="H70" s="67"/>
      <c r="I70" s="12"/>
    </row>
    <row r="71" spans="1:9">
      <c r="A71" s="11"/>
      <c r="B71" s="12"/>
      <c r="C71" s="12"/>
      <c r="D71" s="12"/>
      <c r="E71" s="12"/>
      <c r="F71" s="12"/>
      <c r="G71" s="1636"/>
      <c r="H71" s="67"/>
      <c r="I71" s="12"/>
    </row>
    <row r="72" spans="1:9">
      <c r="A72" s="11"/>
      <c r="B72" s="12"/>
      <c r="C72" s="12"/>
      <c r="D72" s="12"/>
      <c r="E72" s="12"/>
      <c r="F72" s="12"/>
      <c r="G72" s="1636"/>
      <c r="H72" s="67"/>
      <c r="I72" s="12"/>
    </row>
    <row r="73" spans="1:9">
      <c r="A73" s="11"/>
      <c r="B73" s="12"/>
      <c r="C73" s="12"/>
      <c r="D73" s="12"/>
      <c r="E73" s="12"/>
      <c r="F73" s="12"/>
      <c r="G73" s="1636"/>
      <c r="H73" s="67"/>
      <c r="I73" s="12"/>
    </row>
    <row r="74" spans="1:9">
      <c r="A74" s="11"/>
      <c r="B74" s="12"/>
      <c r="C74" s="12"/>
      <c r="D74" s="12"/>
      <c r="E74" s="12"/>
      <c r="F74" s="12"/>
      <c r="G74" s="1636"/>
      <c r="H74" s="67"/>
      <c r="I74" s="12"/>
    </row>
    <row r="75" spans="1:9">
      <c r="A75" s="11"/>
      <c r="B75" s="12"/>
      <c r="C75" s="12"/>
      <c r="D75" s="12"/>
      <c r="E75" s="12"/>
      <c r="F75" s="12"/>
      <c r="G75" s="1636"/>
      <c r="H75" s="67"/>
      <c r="I75" s="12"/>
    </row>
    <row r="76" spans="1:9">
      <c r="A76" s="11"/>
      <c r="B76" s="12"/>
      <c r="C76" s="12"/>
      <c r="D76" s="12"/>
      <c r="E76" s="12"/>
      <c r="F76" s="12"/>
      <c r="G76" s="1636"/>
      <c r="H76" s="67"/>
      <c r="I76" s="12"/>
    </row>
    <row r="77" spans="1:9">
      <c r="A77" s="11"/>
      <c r="B77" s="12"/>
      <c r="C77" s="12"/>
      <c r="D77" s="12"/>
      <c r="E77" s="12"/>
      <c r="F77" s="12"/>
      <c r="G77" s="1636"/>
      <c r="H77" s="67"/>
      <c r="I77" s="12"/>
    </row>
    <row r="78" spans="1:9">
      <c r="A78" s="11"/>
      <c r="B78" s="12"/>
      <c r="C78" s="12"/>
      <c r="D78" s="12"/>
      <c r="E78" s="12"/>
      <c r="F78" s="12"/>
      <c r="G78" s="1636"/>
      <c r="H78" s="67"/>
      <c r="I78" s="12"/>
    </row>
    <row r="79" spans="1:9">
      <c r="A79" s="11"/>
      <c r="B79" s="12"/>
      <c r="C79" s="12"/>
      <c r="D79" s="12"/>
      <c r="E79" s="12"/>
      <c r="F79" s="12"/>
      <c r="G79" s="1636"/>
      <c r="H79" s="67"/>
      <c r="I79" s="12"/>
    </row>
    <row r="80" spans="1:9">
      <c r="A80" s="11"/>
      <c r="B80" s="12"/>
      <c r="C80" s="12"/>
      <c r="D80" s="12"/>
      <c r="E80" s="12"/>
      <c r="F80" s="12"/>
      <c r="G80" s="1636"/>
      <c r="H80" s="67"/>
      <c r="I80" s="12"/>
    </row>
    <row r="81" spans="1:9">
      <c r="A81" s="11"/>
      <c r="B81" s="12"/>
      <c r="C81" s="12"/>
      <c r="D81" s="12"/>
      <c r="E81" s="12"/>
      <c r="F81" s="12"/>
      <c r="G81" s="1636"/>
      <c r="H81" s="67"/>
      <c r="I81" s="12"/>
    </row>
    <row r="82" spans="1:9">
      <c r="A82" s="11"/>
      <c r="B82" s="12"/>
      <c r="C82" s="12"/>
      <c r="D82" s="12"/>
      <c r="E82" s="12"/>
      <c r="F82" s="12"/>
      <c r="G82" s="1636"/>
      <c r="H82" s="67"/>
      <c r="I82" s="12"/>
    </row>
    <row r="83" spans="1:9">
      <c r="A83" s="11"/>
      <c r="B83" s="12"/>
      <c r="C83" s="12"/>
      <c r="D83" s="12"/>
      <c r="E83" s="12"/>
      <c r="F83" s="12"/>
      <c r="G83" s="1636"/>
      <c r="H83" s="67"/>
      <c r="I83" s="12"/>
    </row>
    <row r="84" spans="1:9">
      <c r="A84" s="11"/>
      <c r="B84" s="12"/>
      <c r="C84" s="12"/>
      <c r="D84" s="12"/>
      <c r="E84" s="12"/>
      <c r="F84" s="12"/>
      <c r="G84" s="1636"/>
      <c r="H84" s="67"/>
      <c r="I84" s="12"/>
    </row>
    <row r="85" spans="1:9">
      <c r="A85" s="11"/>
      <c r="B85" s="12"/>
      <c r="C85" s="12"/>
      <c r="D85" s="12"/>
      <c r="E85" s="12"/>
      <c r="F85" s="12"/>
      <c r="G85" s="1636"/>
      <c r="H85" s="67"/>
      <c r="I85" s="12"/>
    </row>
    <row r="86" spans="1:9">
      <c r="A86" s="11"/>
      <c r="B86" s="12"/>
      <c r="C86" s="12"/>
      <c r="D86" s="12"/>
      <c r="E86" s="12"/>
      <c r="F86" s="12"/>
      <c r="G86" s="1636"/>
      <c r="H86" s="67"/>
      <c r="I86" s="12"/>
    </row>
    <row r="87" spans="1:9">
      <c r="A87" s="11"/>
      <c r="B87" s="12"/>
      <c r="C87" s="12"/>
      <c r="D87" s="12"/>
      <c r="E87" s="12"/>
      <c r="F87" s="12"/>
      <c r="G87" s="1636"/>
      <c r="H87" s="67"/>
      <c r="I87" s="12"/>
    </row>
    <row r="88" spans="1:9">
      <c r="A88" s="11"/>
      <c r="B88" s="12"/>
      <c r="C88" s="12"/>
      <c r="D88" s="12"/>
      <c r="E88" s="12"/>
      <c r="F88" s="12"/>
      <c r="G88" s="1636"/>
      <c r="H88" s="67"/>
      <c r="I88" s="12"/>
    </row>
    <row r="89" spans="1:9">
      <c r="A89" s="11"/>
      <c r="B89" s="12"/>
      <c r="C89" s="12"/>
      <c r="D89" s="12"/>
      <c r="E89" s="12"/>
      <c r="F89" s="12"/>
      <c r="G89" s="1636"/>
      <c r="H89" s="67"/>
      <c r="I89" s="12"/>
    </row>
    <row r="90" spans="1:9">
      <c r="A90" s="11"/>
      <c r="B90" s="12"/>
      <c r="C90" s="12"/>
      <c r="D90" s="12"/>
      <c r="E90" s="12"/>
      <c r="F90" s="12"/>
      <c r="G90" s="1636"/>
      <c r="H90" s="67"/>
      <c r="I90" s="12"/>
    </row>
  </sheetData>
  <mergeCells count="50">
    <mergeCell ref="A56:C56"/>
    <mergeCell ref="A28:I28"/>
    <mergeCell ref="A29:C29"/>
    <mergeCell ref="D29:D30"/>
    <mergeCell ref="F29:F30"/>
    <mergeCell ref="G29:G30"/>
    <mergeCell ref="I29:I30"/>
    <mergeCell ref="H29:H30"/>
    <mergeCell ref="A48:A49"/>
    <mergeCell ref="A50:A51"/>
    <mergeCell ref="A54:A55"/>
    <mergeCell ref="A52:A53"/>
    <mergeCell ref="B51:C51"/>
    <mergeCell ref="B49:C49"/>
    <mergeCell ref="A1:I1"/>
    <mergeCell ref="A2:I2"/>
    <mergeCell ref="H6:H7"/>
    <mergeCell ref="A3:I4"/>
    <mergeCell ref="A5:I5"/>
    <mergeCell ref="A6:C6"/>
    <mergeCell ref="D6:D7"/>
    <mergeCell ref="F6:F7"/>
    <mergeCell ref="G6:G7"/>
    <mergeCell ref="I6:I7"/>
    <mergeCell ref="E6:E7"/>
    <mergeCell ref="B12:C12"/>
    <mergeCell ref="A11:A12"/>
    <mergeCell ref="A8:A10"/>
    <mergeCell ref="B10:C10"/>
    <mergeCell ref="B23:B25"/>
    <mergeCell ref="A23:A26"/>
    <mergeCell ref="A13:A15"/>
    <mergeCell ref="B13:B14"/>
    <mergeCell ref="B20:B21"/>
    <mergeCell ref="A20:A22"/>
    <mergeCell ref="B22:C22"/>
    <mergeCell ref="B15:C15"/>
    <mergeCell ref="B26:C26"/>
    <mergeCell ref="A18:A19"/>
    <mergeCell ref="B19:C19"/>
    <mergeCell ref="A16:A17"/>
    <mergeCell ref="B17:C17"/>
    <mergeCell ref="A46:A47"/>
    <mergeCell ref="B47:C47"/>
    <mergeCell ref="E29:E30"/>
    <mergeCell ref="B45:C45"/>
    <mergeCell ref="B39:B44"/>
    <mergeCell ref="B36:B38"/>
    <mergeCell ref="B31:B35"/>
    <mergeCell ref="A27:C27"/>
  </mergeCells>
  <phoneticPr fontId="25" type="noConversion"/>
  <pageMargins left="0.25" right="0.25" top="0.75" bottom="0.75" header="0.30000001192092896" footer="0.30000001192092896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2"/>
  <sheetViews>
    <sheetView topLeftCell="A31" zoomScaleNormal="100" zoomScaleSheetLayoutView="75" workbookViewId="0">
      <selection activeCell="I43" sqref="I43"/>
    </sheetView>
  </sheetViews>
  <sheetFormatPr defaultColWidth="8.58203125" defaultRowHeight="17"/>
  <cols>
    <col min="1" max="1" width="11" style="1" customWidth="1"/>
    <col min="2" max="2" width="14.83203125" style="1" customWidth="1"/>
    <col min="3" max="3" width="18.25" style="1" customWidth="1"/>
    <col min="4" max="4" width="17.33203125" style="1" customWidth="1"/>
    <col min="5" max="5" width="19.5" style="1" customWidth="1"/>
    <col min="6" max="6" width="16.58203125" style="1" customWidth="1"/>
    <col min="7" max="7" width="18.08203125" style="1" customWidth="1"/>
    <col min="9" max="9" width="46.08203125" style="1" customWidth="1"/>
  </cols>
  <sheetData>
    <row r="1" spans="1:9">
      <c r="A1" s="2042"/>
      <c r="B1" s="2043"/>
      <c r="C1" s="2043"/>
      <c r="D1" s="2043"/>
      <c r="E1" s="2043"/>
      <c r="F1" s="2043"/>
      <c r="G1" s="2043"/>
      <c r="H1" s="2043"/>
      <c r="I1" s="2044"/>
    </row>
    <row r="2" spans="1:9" ht="30">
      <c r="A2" s="2045" t="s">
        <v>267</v>
      </c>
      <c r="B2" s="1891"/>
      <c r="C2" s="1891"/>
      <c r="D2" s="1891"/>
      <c r="E2" s="1891"/>
      <c r="F2" s="1891"/>
      <c r="G2" s="1891"/>
      <c r="H2" s="1891"/>
      <c r="I2" s="2046"/>
    </row>
    <row r="3" spans="1:9">
      <c r="A3" s="2047" t="s">
        <v>16</v>
      </c>
      <c r="B3" s="2012"/>
      <c r="C3" s="2012"/>
      <c r="D3" s="2012"/>
      <c r="E3" s="2012"/>
      <c r="F3" s="2012"/>
      <c r="G3" s="2012"/>
      <c r="H3" s="2012"/>
      <c r="I3" s="2048"/>
    </row>
    <row r="4" spans="1:9">
      <c r="A4" s="2047"/>
      <c r="B4" s="2012"/>
      <c r="C4" s="2012"/>
      <c r="D4" s="2012"/>
      <c r="E4" s="2012"/>
      <c r="F4" s="2012"/>
      <c r="G4" s="2012"/>
      <c r="H4" s="2012"/>
      <c r="I4" s="2048"/>
    </row>
    <row r="5" spans="1:9" ht="20.5">
      <c r="A5" s="2049" t="s">
        <v>14</v>
      </c>
      <c r="B5" s="1915"/>
      <c r="C5" s="1915"/>
      <c r="D5" s="1915"/>
      <c r="E5" s="1915"/>
      <c r="F5" s="1915"/>
      <c r="G5" s="1915"/>
      <c r="H5" s="1915"/>
      <c r="I5" s="2050"/>
    </row>
    <row r="6" spans="1:9" ht="19.149999999999999" customHeight="1">
      <c r="A6" s="2013" t="s">
        <v>156</v>
      </c>
      <c r="B6" s="1917"/>
      <c r="C6" s="1917"/>
      <c r="D6" s="1799" t="s">
        <v>283</v>
      </c>
      <c r="E6" s="1799" t="s">
        <v>49</v>
      </c>
      <c r="F6" s="1799" t="s">
        <v>44</v>
      </c>
      <c r="G6" s="1799" t="s">
        <v>108</v>
      </c>
      <c r="H6" s="1858" t="s">
        <v>186</v>
      </c>
      <c r="I6" s="1858" t="s">
        <v>146</v>
      </c>
    </row>
    <row r="7" spans="1:9" ht="17.5">
      <c r="A7" s="884" t="s">
        <v>78</v>
      </c>
      <c r="B7" s="885" t="s">
        <v>88</v>
      </c>
      <c r="C7" s="885" t="s">
        <v>89</v>
      </c>
      <c r="D7" s="1919"/>
      <c r="E7" s="1919"/>
      <c r="F7" s="1919"/>
      <c r="G7" s="1919"/>
      <c r="H7" s="2051"/>
      <c r="I7" s="2051"/>
    </row>
    <row r="8" spans="1:9">
      <c r="A8" s="1995" t="s">
        <v>221</v>
      </c>
      <c r="B8" s="349" t="s">
        <v>226</v>
      </c>
      <c r="C8" s="740" t="s">
        <v>145</v>
      </c>
      <c r="D8" s="288"/>
      <c r="E8" s="288"/>
      <c r="F8" s="707">
        <v>6020000</v>
      </c>
      <c r="G8" s="873">
        <f>F8-D8</f>
        <v>6020000</v>
      </c>
      <c r="H8" s="591"/>
      <c r="I8" s="880" t="s">
        <v>248</v>
      </c>
    </row>
    <row r="9" spans="1:9">
      <c r="A9" s="1996"/>
      <c r="B9" s="1966" t="s">
        <v>71</v>
      </c>
      <c r="C9" s="1967"/>
      <c r="D9" s="443"/>
      <c r="E9" s="443"/>
      <c r="F9" s="708">
        <f>SUM(F8)</f>
        <v>6020000</v>
      </c>
      <c r="G9" s="874">
        <f>SUM(G8)</f>
        <v>6020000</v>
      </c>
      <c r="H9" s="703"/>
      <c r="I9" s="881"/>
    </row>
    <row r="10" spans="1:9">
      <c r="A10" s="2001" t="s">
        <v>164</v>
      </c>
      <c r="B10" s="886" t="s">
        <v>164</v>
      </c>
      <c r="C10" s="222" t="s">
        <v>102</v>
      </c>
      <c r="D10" s="887"/>
      <c r="E10" s="887"/>
      <c r="F10" s="888"/>
      <c r="G10" s="889"/>
      <c r="H10" s="317"/>
      <c r="I10" s="890"/>
    </row>
    <row r="11" spans="1:9">
      <c r="A11" s="2001"/>
      <c r="B11" s="2033" t="s">
        <v>71</v>
      </c>
      <c r="C11" s="2028"/>
      <c r="D11" s="891"/>
      <c r="E11" s="891"/>
      <c r="F11" s="892"/>
      <c r="G11" s="893"/>
      <c r="H11" s="460"/>
      <c r="I11" s="894"/>
    </row>
    <row r="12" spans="1:9">
      <c r="A12" s="2037" t="s">
        <v>229</v>
      </c>
      <c r="B12" s="1864" t="s">
        <v>244</v>
      </c>
      <c r="C12" s="226" t="s">
        <v>162</v>
      </c>
      <c r="D12" s="321"/>
      <c r="E12" s="321"/>
      <c r="F12" s="709"/>
      <c r="G12" s="875"/>
      <c r="H12" s="591"/>
      <c r="I12" s="295"/>
    </row>
    <row r="13" spans="1:9">
      <c r="A13" s="2038"/>
      <c r="B13" s="1865"/>
      <c r="C13" s="223" t="s">
        <v>174</v>
      </c>
      <c r="D13" s="136"/>
      <c r="E13" s="136"/>
      <c r="F13" s="706"/>
      <c r="G13" s="876"/>
      <c r="H13" s="593"/>
      <c r="I13" s="296"/>
    </row>
    <row r="14" spans="1:9">
      <c r="A14" s="2039"/>
      <c r="B14" s="2040" t="s">
        <v>71</v>
      </c>
      <c r="C14" s="1959"/>
      <c r="D14" s="443"/>
      <c r="E14" s="443"/>
      <c r="F14" s="708"/>
      <c r="G14" s="469"/>
      <c r="H14" s="703"/>
      <c r="I14" s="882"/>
    </row>
    <row r="15" spans="1:9">
      <c r="A15" s="2041" t="s">
        <v>69</v>
      </c>
      <c r="B15" s="741" t="s">
        <v>69</v>
      </c>
      <c r="C15" s="530" t="s">
        <v>69</v>
      </c>
      <c r="D15" s="887">
        <v>6500000</v>
      </c>
      <c r="E15" s="139"/>
      <c r="F15" s="887"/>
      <c r="G15" s="889">
        <f t="shared" ref="G15:G23" si="0">F15-D15</f>
        <v>-6500000</v>
      </c>
      <c r="H15" s="317">
        <f t="shared" ref="H15:H22" si="1">G15/D15*100%</f>
        <v>-1</v>
      </c>
      <c r="I15" s="1189" t="s">
        <v>506</v>
      </c>
    </row>
    <row r="16" spans="1:9">
      <c r="A16" s="2041"/>
      <c r="B16" s="2025" t="s">
        <v>71</v>
      </c>
      <c r="C16" s="2026"/>
      <c r="D16" s="895">
        <f>D15</f>
        <v>6500000</v>
      </c>
      <c r="E16" s="895"/>
      <c r="F16" s="895"/>
      <c r="G16" s="896">
        <f>G15</f>
        <v>-6500000</v>
      </c>
      <c r="H16" s="897">
        <f t="shared" si="1"/>
        <v>-1</v>
      </c>
      <c r="I16" s="529"/>
    </row>
    <row r="17" spans="1:9">
      <c r="A17" s="2034" t="s">
        <v>74</v>
      </c>
      <c r="B17" s="2035" t="s">
        <v>74</v>
      </c>
      <c r="C17" s="224" t="s">
        <v>159</v>
      </c>
      <c r="D17" s="321">
        <v>500000</v>
      </c>
      <c r="E17" s="321">
        <v>77031</v>
      </c>
      <c r="F17" s="321">
        <v>77031</v>
      </c>
      <c r="G17" s="875">
        <f t="shared" si="0"/>
        <v>-422969</v>
      </c>
      <c r="H17" s="591">
        <f t="shared" si="1"/>
        <v>-0.84593799999999997</v>
      </c>
      <c r="I17" s="730" t="s">
        <v>231</v>
      </c>
    </row>
    <row r="18" spans="1:9">
      <c r="A18" s="2000"/>
      <c r="B18" s="2036"/>
      <c r="C18" s="223" t="s">
        <v>101</v>
      </c>
      <c r="D18" s="136">
        <v>500000</v>
      </c>
      <c r="E18" s="136">
        <v>296080</v>
      </c>
      <c r="F18" s="706">
        <v>296080</v>
      </c>
      <c r="G18" s="876">
        <f t="shared" si="0"/>
        <v>-203920</v>
      </c>
      <c r="H18" s="593">
        <f t="shared" si="1"/>
        <v>-0.40783999999999998</v>
      </c>
      <c r="I18" s="731" t="s">
        <v>249</v>
      </c>
    </row>
    <row r="19" spans="1:9">
      <c r="A19" s="2006"/>
      <c r="B19" s="1878" t="s">
        <v>71</v>
      </c>
      <c r="C19" s="1878"/>
      <c r="D19" s="442">
        <f>SUM(D17:D18)</f>
        <v>1000000</v>
      </c>
      <c r="E19" s="442">
        <f>SUM(E16:E18)</f>
        <v>373111</v>
      </c>
      <c r="F19" s="442">
        <f>SUM(F16:F18)</f>
        <v>373111</v>
      </c>
      <c r="G19" s="877">
        <f t="shared" si="0"/>
        <v>-626889</v>
      </c>
      <c r="H19" s="691">
        <f t="shared" si="1"/>
        <v>-0.62688900000000003</v>
      </c>
      <c r="I19" s="297"/>
    </row>
    <row r="20" spans="1:9">
      <c r="A20" s="1999" t="s">
        <v>61</v>
      </c>
      <c r="B20" s="1997" t="s">
        <v>61</v>
      </c>
      <c r="C20" s="344" t="s">
        <v>118</v>
      </c>
      <c r="D20" s="139"/>
      <c r="E20" s="139">
        <v>185</v>
      </c>
      <c r="F20" s="139">
        <v>2480</v>
      </c>
      <c r="G20" s="878">
        <f t="shared" si="0"/>
        <v>2480</v>
      </c>
      <c r="H20" s="317"/>
      <c r="I20" s="326"/>
    </row>
    <row r="21" spans="1:9" ht="34">
      <c r="A21" s="2000"/>
      <c r="B21" s="1997"/>
      <c r="C21" s="343" t="s">
        <v>278</v>
      </c>
      <c r="D21" s="136"/>
      <c r="E21" s="136">
        <v>147</v>
      </c>
      <c r="F21" s="136">
        <v>2489</v>
      </c>
      <c r="G21" s="876">
        <f t="shared" si="0"/>
        <v>2489</v>
      </c>
      <c r="H21" s="593"/>
      <c r="I21" s="327"/>
    </row>
    <row r="22" spans="1:9">
      <c r="A22" s="2000"/>
      <c r="B22" s="1998"/>
      <c r="C22" s="343" t="s">
        <v>171</v>
      </c>
      <c r="D22" s="136">
        <v>1500000</v>
      </c>
      <c r="E22" s="136">
        <v>1151920</v>
      </c>
      <c r="F22" s="136">
        <v>1151920</v>
      </c>
      <c r="G22" s="876">
        <f t="shared" si="0"/>
        <v>-348080</v>
      </c>
      <c r="H22" s="593">
        <f t="shared" si="1"/>
        <v>-0.23205333333333333</v>
      </c>
      <c r="I22" s="731" t="s">
        <v>38</v>
      </c>
    </row>
    <row r="23" spans="1:9">
      <c r="A23" s="2027"/>
      <c r="B23" s="2025" t="s">
        <v>71</v>
      </c>
      <c r="C23" s="2028"/>
      <c r="D23" s="695">
        <f>SUM(D20:D22)</f>
        <v>1500000</v>
      </c>
      <c r="E23" s="695">
        <f>SUM(E20:E22)</f>
        <v>1152252</v>
      </c>
      <c r="F23" s="695">
        <f>SUM(F20:F22)</f>
        <v>1156889</v>
      </c>
      <c r="G23" s="896">
        <f t="shared" si="0"/>
        <v>-343111</v>
      </c>
      <c r="H23" s="460">
        <f>G23/D23*100%</f>
        <v>-0.22874066666666668</v>
      </c>
      <c r="I23" s="898"/>
    </row>
    <row r="24" spans="1:9">
      <c r="A24" s="2029" t="s">
        <v>76</v>
      </c>
      <c r="B24" s="1961"/>
      <c r="C24" s="1962"/>
      <c r="D24" s="472">
        <f>SUM(D9+D11+D14+D16+D19+D23)</f>
        <v>9000000</v>
      </c>
      <c r="E24" s="472">
        <f>SUM(E9,E11,E14,E19,E23)</f>
        <v>1525363</v>
      </c>
      <c r="F24" s="472">
        <f>SUM(F8,F11,F14,F19,F23)</f>
        <v>7550000</v>
      </c>
      <c r="G24" s="879">
        <f>SUM(G9+G16+G19+G23)</f>
        <v>-1450000</v>
      </c>
      <c r="H24" s="718">
        <f>G24/D24*100%</f>
        <v>-0.16111111111111112</v>
      </c>
      <c r="I24" s="883"/>
    </row>
    <row r="25" spans="1:9" ht="21">
      <c r="A25" s="2030" t="s">
        <v>17</v>
      </c>
      <c r="B25" s="2031"/>
      <c r="C25" s="2031"/>
      <c r="D25" s="2031"/>
      <c r="E25" s="2031"/>
      <c r="F25" s="2031"/>
      <c r="G25" s="2031"/>
      <c r="H25" s="2031"/>
      <c r="I25" s="2032"/>
    </row>
    <row r="26" spans="1:9" ht="17.5" customHeight="1">
      <c r="A26" s="1860" t="s">
        <v>156</v>
      </c>
      <c r="B26" s="1861"/>
      <c r="C26" s="1861"/>
      <c r="D26" s="1799" t="s">
        <v>283</v>
      </c>
      <c r="E26" s="1799" t="s">
        <v>49</v>
      </c>
      <c r="F26" s="1799" t="s">
        <v>44</v>
      </c>
      <c r="G26" s="1799" t="s">
        <v>108</v>
      </c>
      <c r="H26" s="1858" t="s">
        <v>186</v>
      </c>
      <c r="I26" s="1858" t="s">
        <v>146</v>
      </c>
    </row>
    <row r="27" spans="1:9" ht="18" customHeight="1">
      <c r="A27" s="336" t="s">
        <v>78</v>
      </c>
      <c r="B27" s="337" t="s">
        <v>88</v>
      </c>
      <c r="C27" s="337" t="s">
        <v>89</v>
      </c>
      <c r="D27" s="1800"/>
      <c r="E27" s="1800"/>
      <c r="F27" s="1800"/>
      <c r="G27" s="1800"/>
      <c r="H27" s="1859"/>
      <c r="I27" s="1859"/>
    </row>
    <row r="28" spans="1:9">
      <c r="A28" s="2010" t="s">
        <v>93</v>
      </c>
      <c r="B28" s="1986" t="s">
        <v>62</v>
      </c>
      <c r="C28" s="222" t="s">
        <v>91</v>
      </c>
      <c r="D28" s="585"/>
      <c r="E28" s="585"/>
      <c r="F28" s="586"/>
      <c r="G28" s="586"/>
      <c r="H28" s="271"/>
      <c r="I28" s="899"/>
    </row>
    <row r="29" spans="1:9">
      <c r="A29" s="2010"/>
      <c r="B29" s="1986"/>
      <c r="C29" s="223" t="s">
        <v>158</v>
      </c>
      <c r="D29" s="233"/>
      <c r="E29" s="233"/>
      <c r="F29" s="272"/>
      <c r="G29" s="272"/>
      <c r="H29" s="65"/>
      <c r="I29" s="143"/>
    </row>
    <row r="30" spans="1:9">
      <c r="A30" s="2010"/>
      <c r="B30" s="1986"/>
      <c r="C30" s="223" t="s">
        <v>181</v>
      </c>
      <c r="D30" s="233"/>
      <c r="E30" s="233"/>
      <c r="F30" s="272"/>
      <c r="G30" s="272"/>
      <c r="H30" s="65"/>
      <c r="I30" s="144"/>
    </row>
    <row r="31" spans="1:9">
      <c r="A31" s="2010"/>
      <c r="B31" s="1986"/>
      <c r="C31" s="223" t="s">
        <v>176</v>
      </c>
      <c r="D31" s="233"/>
      <c r="E31" s="233"/>
      <c r="F31" s="55"/>
      <c r="G31" s="272"/>
      <c r="H31" s="65"/>
      <c r="I31" s="145"/>
    </row>
    <row r="32" spans="1:9">
      <c r="A32" s="2010"/>
      <c r="B32" s="1989"/>
      <c r="C32" s="227" t="s">
        <v>71</v>
      </c>
      <c r="D32" s="262"/>
      <c r="E32" s="262"/>
      <c r="F32" s="262"/>
      <c r="G32" s="273"/>
      <c r="H32" s="691"/>
      <c r="I32" s="274"/>
    </row>
    <row r="33" spans="1:9">
      <c r="A33" s="2010"/>
      <c r="B33" s="1988" t="s">
        <v>193</v>
      </c>
      <c r="C33" s="226" t="s">
        <v>148</v>
      </c>
      <c r="D33" s="276"/>
      <c r="E33" s="277"/>
      <c r="F33" s="57"/>
      <c r="G33" s="57"/>
      <c r="H33" s="271"/>
      <c r="I33" s="279"/>
    </row>
    <row r="34" spans="1:9">
      <c r="A34" s="2010"/>
      <c r="B34" s="1986"/>
      <c r="C34" s="223" t="s">
        <v>83</v>
      </c>
      <c r="D34" s="696">
        <v>100000</v>
      </c>
      <c r="E34" s="697"/>
      <c r="F34" s="696">
        <v>100000</v>
      </c>
      <c r="G34" s="294">
        <f t="shared" ref="G34:G52" si="2">F34-D34</f>
        <v>0</v>
      </c>
      <c r="H34" s="65">
        <f t="shared" ref="H34:H47" si="3">G34/D34*100%</f>
        <v>0</v>
      </c>
      <c r="I34" s="144"/>
    </row>
    <row r="35" spans="1:9">
      <c r="A35" s="2010"/>
      <c r="B35" s="1989"/>
      <c r="C35" s="227" t="s">
        <v>71</v>
      </c>
      <c r="D35" s="698">
        <f>SUM(D33:D34)</f>
        <v>100000</v>
      </c>
      <c r="E35" s="698"/>
      <c r="F35" s="698">
        <f>SUM(F33:F34)</f>
        <v>100000</v>
      </c>
      <c r="G35" s="566">
        <f t="shared" si="2"/>
        <v>0</v>
      </c>
      <c r="H35" s="703">
        <f t="shared" si="3"/>
        <v>0</v>
      </c>
      <c r="I35" s="70"/>
    </row>
    <row r="36" spans="1:9">
      <c r="A36" s="2010"/>
      <c r="B36" s="1986" t="s">
        <v>77</v>
      </c>
      <c r="C36" s="222" t="s">
        <v>60</v>
      </c>
      <c r="D36" s="263"/>
      <c r="E36" s="269"/>
      <c r="F36" s="54"/>
      <c r="G36" s="294"/>
      <c r="H36" s="271"/>
      <c r="I36" s="275"/>
    </row>
    <row r="37" spans="1:9">
      <c r="A37" s="2010"/>
      <c r="B37" s="1986"/>
      <c r="C37" s="223" t="s">
        <v>173</v>
      </c>
      <c r="D37" s="264"/>
      <c r="E37" s="265"/>
      <c r="F37" s="55"/>
      <c r="G37" s="294"/>
      <c r="H37" s="65"/>
      <c r="I37" s="144"/>
    </row>
    <row r="38" spans="1:9">
      <c r="A38" s="2010"/>
      <c r="B38" s="1986"/>
      <c r="C38" s="223" t="s">
        <v>161</v>
      </c>
      <c r="D38" s="696">
        <v>50000</v>
      </c>
      <c r="E38" s="697"/>
      <c r="F38" s="55">
        <v>50000</v>
      </c>
      <c r="G38" s="294">
        <f t="shared" si="2"/>
        <v>0</v>
      </c>
      <c r="H38" s="65">
        <f t="shared" si="3"/>
        <v>0</v>
      </c>
      <c r="I38" s="144"/>
    </row>
    <row r="39" spans="1:9">
      <c r="A39" s="2010"/>
      <c r="B39" s="1986"/>
      <c r="C39" s="223" t="s">
        <v>168</v>
      </c>
      <c r="D39" s="696">
        <v>1400000</v>
      </c>
      <c r="E39" s="697">
        <v>1248890</v>
      </c>
      <c r="F39" s="55">
        <v>2250000</v>
      </c>
      <c r="G39" s="294">
        <f t="shared" si="2"/>
        <v>850000</v>
      </c>
      <c r="H39" s="218">
        <f t="shared" si="3"/>
        <v>0.6071428571428571</v>
      </c>
      <c r="I39" s="144"/>
    </row>
    <row r="40" spans="1:9">
      <c r="A40" s="2010"/>
      <c r="B40" s="1986"/>
      <c r="C40" s="223" t="s">
        <v>151</v>
      </c>
      <c r="D40" s="696"/>
      <c r="E40" s="697"/>
      <c r="F40" s="696">
        <v>900000</v>
      </c>
      <c r="G40" s="294">
        <f t="shared" si="2"/>
        <v>900000</v>
      </c>
      <c r="H40" s="218"/>
      <c r="I40" s="146"/>
    </row>
    <row r="41" spans="1:9">
      <c r="A41" s="2010"/>
      <c r="B41" s="1987"/>
      <c r="C41" s="282" t="s">
        <v>71</v>
      </c>
      <c r="D41" s="699">
        <f>SUM(D36:D40)</f>
        <v>1450000</v>
      </c>
      <c r="E41" s="699">
        <f>SUM(E36:E40)</f>
        <v>1248890</v>
      </c>
      <c r="F41" s="699">
        <f>SUM(F36:F40)</f>
        <v>3200000</v>
      </c>
      <c r="G41" s="732">
        <f>SUM(G36:G40)</f>
        <v>1750000</v>
      </c>
      <c r="H41" s="218">
        <f t="shared" si="3"/>
        <v>1.2068965517241379</v>
      </c>
      <c r="I41" s="283"/>
    </row>
    <row r="42" spans="1:9">
      <c r="A42" s="1874"/>
      <c r="B42" s="1958" t="s">
        <v>71</v>
      </c>
      <c r="C42" s="1974"/>
      <c r="D42" s="698">
        <f>SUM(D41,D35,D32)</f>
        <v>1550000</v>
      </c>
      <c r="E42" s="698">
        <f>SUM(E41,E35,E32)</f>
        <v>1248890</v>
      </c>
      <c r="F42" s="698">
        <f>SUM(F35+F41)</f>
        <v>3300000</v>
      </c>
      <c r="G42" s="566">
        <f>SUM(G35+G41)</f>
        <v>1750000</v>
      </c>
      <c r="H42" s="703">
        <f t="shared" si="3"/>
        <v>1.1290322580645162</v>
      </c>
      <c r="I42" s="70"/>
    </row>
    <row r="43" spans="1:9" ht="54" customHeight="1">
      <c r="A43" s="1873" t="s">
        <v>75</v>
      </c>
      <c r="B43" s="1988" t="s">
        <v>75</v>
      </c>
      <c r="C43" s="1195" t="s">
        <v>513</v>
      </c>
      <c r="D43" s="700">
        <v>6500000</v>
      </c>
      <c r="E43" s="277"/>
      <c r="F43" s="1196">
        <v>3000000</v>
      </c>
      <c r="G43" s="294">
        <f>F43-D43</f>
        <v>-3500000</v>
      </c>
      <c r="H43" s="271">
        <f t="shared" si="3"/>
        <v>-0.53846153846153844</v>
      </c>
      <c r="I43" s="1197"/>
    </row>
    <row r="44" spans="1:9" ht="33" hidden="1" customHeight="1">
      <c r="A44" s="2010"/>
      <c r="B44" s="1987"/>
      <c r="C44" s="1198" t="s">
        <v>507</v>
      </c>
      <c r="D44" s="696"/>
      <c r="E44" s="268"/>
      <c r="F44" s="696"/>
      <c r="G44" s="294"/>
      <c r="H44" s="65"/>
      <c r="I44" s="144"/>
    </row>
    <row r="45" spans="1:9">
      <c r="A45" s="1874"/>
      <c r="B45" s="1958" t="s">
        <v>71</v>
      </c>
      <c r="C45" s="1974"/>
      <c r="D45" s="701">
        <f>SUM(D43:D44)</f>
        <v>6500000</v>
      </c>
      <c r="E45" s="267"/>
      <c r="F45" s="701">
        <f>SUM(F43:F44)</f>
        <v>3000000</v>
      </c>
      <c r="G45" s="566">
        <f t="shared" si="2"/>
        <v>-3500000</v>
      </c>
      <c r="H45" s="703">
        <f t="shared" si="3"/>
        <v>-0.53846153846153844</v>
      </c>
      <c r="I45" s="274"/>
    </row>
    <row r="46" spans="1:9">
      <c r="A46" s="1873" t="s">
        <v>80</v>
      </c>
      <c r="B46" s="226" t="s">
        <v>80</v>
      </c>
      <c r="C46" s="226" t="s">
        <v>80</v>
      </c>
      <c r="D46" s="702">
        <v>950000</v>
      </c>
      <c r="E46" s="284"/>
      <c r="F46" s="702">
        <v>1250000</v>
      </c>
      <c r="G46" s="294">
        <f t="shared" si="2"/>
        <v>300000</v>
      </c>
      <c r="H46" s="271">
        <f t="shared" si="3"/>
        <v>0.31578947368421051</v>
      </c>
      <c r="I46" s="285"/>
    </row>
    <row r="47" spans="1:9">
      <c r="A47" s="2010"/>
      <c r="B47" s="2025" t="s">
        <v>71</v>
      </c>
      <c r="C47" s="2026"/>
      <c r="D47" s="900">
        <f>SUM(D46)</f>
        <v>950000</v>
      </c>
      <c r="E47" s="901"/>
      <c r="F47" s="900">
        <f>SUM(F46)</f>
        <v>1250000</v>
      </c>
      <c r="G47" s="902">
        <f t="shared" si="2"/>
        <v>300000</v>
      </c>
      <c r="H47" s="903">
        <f t="shared" si="3"/>
        <v>0.31578947368421051</v>
      </c>
      <c r="I47" s="904"/>
    </row>
    <row r="48" spans="1:9">
      <c r="A48" s="1873" t="s">
        <v>79</v>
      </c>
      <c r="B48" s="226" t="s">
        <v>131</v>
      </c>
      <c r="C48" s="226" t="s">
        <v>79</v>
      </c>
      <c r="D48" s="220"/>
      <c r="E48" s="220"/>
      <c r="F48" s="709"/>
      <c r="G48" s="301"/>
      <c r="H48" s="278"/>
      <c r="I48" s="58"/>
    </row>
    <row r="49" spans="1:9">
      <c r="A49" s="1874"/>
      <c r="B49" s="1958" t="s">
        <v>71</v>
      </c>
      <c r="C49" s="1974"/>
      <c r="D49" s="69"/>
      <c r="E49" s="69"/>
      <c r="F49" s="69"/>
      <c r="G49" s="273"/>
      <c r="H49" s="219"/>
      <c r="I49" s="70"/>
    </row>
    <row r="50" spans="1:9" ht="34">
      <c r="A50" s="2010" t="s">
        <v>165</v>
      </c>
      <c r="B50" s="280" t="s">
        <v>165</v>
      </c>
      <c r="C50" s="280" t="s">
        <v>282</v>
      </c>
      <c r="D50" s="234"/>
      <c r="E50" s="704">
        <v>276473</v>
      </c>
      <c r="F50" s="54"/>
      <c r="G50" s="270"/>
      <c r="H50" s="271"/>
      <c r="I50" s="281"/>
    </row>
    <row r="51" spans="1:9">
      <c r="A51" s="2010"/>
      <c r="B51" s="228" t="s">
        <v>71</v>
      </c>
      <c r="C51" s="228"/>
      <c r="D51" s="147"/>
      <c r="E51" s="705">
        <f>SUM(E50)</f>
        <v>276473</v>
      </c>
      <c r="F51" s="147"/>
      <c r="G51" s="905"/>
      <c r="H51" s="903"/>
      <c r="I51" s="148"/>
    </row>
    <row r="52" spans="1:9">
      <c r="A52" s="2014" t="s">
        <v>76</v>
      </c>
      <c r="B52" s="2015"/>
      <c r="C52" s="2015"/>
      <c r="D52" s="150">
        <f>SUM(D42,,D45,D47,D49,D51)</f>
        <v>9000000</v>
      </c>
      <c r="E52" s="150">
        <f>SUM(E42,,E45,E47,E49,E51)</f>
        <v>1525363</v>
      </c>
      <c r="F52" s="150">
        <f>SUM(F42+F45+F47)</f>
        <v>7550000</v>
      </c>
      <c r="G52" s="906">
        <f t="shared" si="2"/>
        <v>-1450000</v>
      </c>
      <c r="H52" s="465">
        <f>G52/D52*100%</f>
        <v>-0.16111111111111112</v>
      </c>
      <c r="I52" s="149"/>
    </row>
  </sheetData>
  <mergeCells count="49"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10:A11"/>
    <mergeCell ref="B11:C11"/>
    <mergeCell ref="A17:A19"/>
    <mergeCell ref="B17:B18"/>
    <mergeCell ref="B19:C19"/>
    <mergeCell ref="A12:A14"/>
    <mergeCell ref="B12:B13"/>
    <mergeCell ref="B14:C14"/>
    <mergeCell ref="A15:A16"/>
    <mergeCell ref="B16:C16"/>
    <mergeCell ref="A20:A23"/>
    <mergeCell ref="B20:B22"/>
    <mergeCell ref="B23:C23"/>
    <mergeCell ref="A24:C24"/>
    <mergeCell ref="A25:I25"/>
    <mergeCell ref="H26:H27"/>
    <mergeCell ref="I26:I27"/>
    <mergeCell ref="A28:A42"/>
    <mergeCell ref="B28:B32"/>
    <mergeCell ref="B33:B35"/>
    <mergeCell ref="B36:B41"/>
    <mergeCell ref="B42:C42"/>
    <mergeCell ref="A26:C26"/>
    <mergeCell ref="D26:D27"/>
    <mergeCell ref="E26:E27"/>
    <mergeCell ref="F26:F27"/>
    <mergeCell ref="G26:G27"/>
    <mergeCell ref="A50:A51"/>
    <mergeCell ref="A52:C52"/>
    <mergeCell ref="A43:A45"/>
    <mergeCell ref="B43:B44"/>
    <mergeCell ref="B45:C45"/>
    <mergeCell ref="A46:A47"/>
    <mergeCell ref="B47:C47"/>
    <mergeCell ref="A48:A49"/>
    <mergeCell ref="B49:C49"/>
  </mergeCells>
  <phoneticPr fontId="25" type="noConversion"/>
  <pageMargins left="0.69972223043441772" right="0.69972223043441772" top="0.75" bottom="0.75" header="0.30000001192092896" footer="0.3000000119209289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zoomScaleNormal="100" zoomScaleSheetLayoutView="75" workbookViewId="0">
      <selection activeCell="F55" sqref="F55"/>
    </sheetView>
  </sheetViews>
  <sheetFormatPr defaultColWidth="8.58203125" defaultRowHeight="17"/>
  <cols>
    <col min="1" max="1" width="11.75" style="1012" customWidth="1"/>
    <col min="2" max="2" width="13.25" style="1012" customWidth="1"/>
    <col min="3" max="3" width="15.83203125" style="1012" customWidth="1"/>
    <col min="4" max="4" width="17.83203125" style="1012" customWidth="1"/>
    <col min="5" max="5" width="20.25" style="1012" customWidth="1"/>
    <col min="6" max="6" width="20.33203125" style="1012" customWidth="1"/>
    <col min="7" max="7" width="18.83203125" style="1012" customWidth="1"/>
    <col min="8" max="8" width="8.58203125" style="971"/>
    <col min="9" max="9" width="36.5" style="1012" customWidth="1"/>
    <col min="10" max="16384" width="8.58203125" style="971"/>
  </cols>
  <sheetData>
    <row r="1" spans="1:9">
      <c r="A1" s="2042"/>
      <c r="B1" s="2043"/>
      <c r="C1" s="2043"/>
      <c r="D1" s="2043"/>
      <c r="E1" s="2043"/>
      <c r="F1" s="2043"/>
      <c r="G1" s="2043"/>
      <c r="H1" s="2043"/>
      <c r="I1" s="2044"/>
    </row>
    <row r="2" spans="1:9" ht="30">
      <c r="A2" s="2045" t="s">
        <v>265</v>
      </c>
      <c r="B2" s="1891"/>
      <c r="C2" s="1891"/>
      <c r="D2" s="1891"/>
      <c r="E2" s="1891"/>
      <c r="F2" s="1891"/>
      <c r="G2" s="1891"/>
      <c r="H2" s="1891"/>
      <c r="I2" s="2046"/>
    </row>
    <row r="3" spans="1:9">
      <c r="A3" s="2047" t="s">
        <v>312</v>
      </c>
      <c r="B3" s="2012"/>
      <c r="C3" s="2012"/>
      <c r="D3" s="2012"/>
      <c r="E3" s="2012"/>
      <c r="F3" s="2012"/>
      <c r="G3" s="2012"/>
      <c r="H3" s="2012"/>
      <c r="I3" s="2048"/>
    </row>
    <row r="4" spans="1:9">
      <c r="A4" s="2047"/>
      <c r="B4" s="2012"/>
      <c r="C4" s="2012"/>
      <c r="D4" s="2012"/>
      <c r="E4" s="2012"/>
      <c r="F4" s="2012"/>
      <c r="G4" s="2012"/>
      <c r="H4" s="2012"/>
      <c r="I4" s="2048"/>
    </row>
    <row r="5" spans="1:9" ht="21" thickBot="1">
      <c r="A5" s="2049" t="s">
        <v>313</v>
      </c>
      <c r="B5" s="1915"/>
      <c r="C5" s="1915"/>
      <c r="D5" s="1915"/>
      <c r="E5" s="1915"/>
      <c r="F5" s="1915"/>
      <c r="G5" s="1915"/>
      <c r="H5" s="1915"/>
      <c r="I5" s="2050"/>
    </row>
    <row r="6" spans="1:9" ht="19.149999999999999" customHeight="1">
      <c r="A6" s="2013" t="s">
        <v>156</v>
      </c>
      <c r="B6" s="1917"/>
      <c r="C6" s="1917"/>
      <c r="D6" s="2052" t="s">
        <v>283</v>
      </c>
      <c r="E6" s="2052" t="s">
        <v>314</v>
      </c>
      <c r="F6" s="2052" t="s">
        <v>39</v>
      </c>
      <c r="G6" s="2052" t="s">
        <v>108</v>
      </c>
      <c r="H6" s="2054" t="s">
        <v>186</v>
      </c>
      <c r="I6" s="2057" t="s">
        <v>146</v>
      </c>
    </row>
    <row r="7" spans="1:9" ht="18" thickBot="1">
      <c r="A7" s="72" t="s">
        <v>78</v>
      </c>
      <c r="B7" s="73" t="s">
        <v>88</v>
      </c>
      <c r="C7" s="73" t="s">
        <v>89</v>
      </c>
      <c r="D7" s="2053"/>
      <c r="E7" s="2053"/>
      <c r="F7" s="2053"/>
      <c r="G7" s="2053"/>
      <c r="H7" s="2055"/>
      <c r="I7" s="2058"/>
    </row>
    <row r="8" spans="1:9">
      <c r="A8" s="1995" t="s">
        <v>221</v>
      </c>
      <c r="B8" s="349" t="s">
        <v>226</v>
      </c>
      <c r="C8" s="911" t="s">
        <v>145</v>
      </c>
      <c r="D8" s="288">
        <v>8629200</v>
      </c>
      <c r="E8" s="288"/>
      <c r="F8" s="707">
        <v>8629200</v>
      </c>
      <c r="G8" s="289">
        <f>F8-D8</f>
        <v>0</v>
      </c>
      <c r="H8" s="711">
        <f t="shared" ref="H8:H9" si="0">G8/D8*100%</f>
        <v>0</v>
      </c>
      <c r="I8" s="290"/>
    </row>
    <row r="9" spans="1:9" ht="17.5" thickBot="1">
      <c r="A9" s="1996"/>
      <c r="B9" s="1966" t="s">
        <v>71</v>
      </c>
      <c r="C9" s="1967"/>
      <c r="D9" s="443">
        <f>D8</f>
        <v>8629200</v>
      </c>
      <c r="E9" s="291"/>
      <c r="F9" s="708">
        <f>F8</f>
        <v>8629200</v>
      </c>
      <c r="G9" s="305">
        <f>F9-D9</f>
        <v>0</v>
      </c>
      <c r="H9" s="711">
        <f t="shared" si="0"/>
        <v>0</v>
      </c>
      <c r="I9" s="354"/>
    </row>
    <row r="10" spans="1:9">
      <c r="A10" s="1995" t="s">
        <v>164</v>
      </c>
      <c r="B10" s="350" t="s">
        <v>164</v>
      </c>
      <c r="C10" s="226" t="s">
        <v>102</v>
      </c>
      <c r="D10" s="288"/>
      <c r="E10" s="288"/>
      <c r="F10" s="707"/>
      <c r="G10" s="289">
        <f>F10-D10</f>
        <v>0</v>
      </c>
      <c r="H10" s="306"/>
      <c r="I10" s="290"/>
    </row>
    <row r="11" spans="1:9" ht="17.5" thickBot="1">
      <c r="A11" s="1996"/>
      <c r="B11" s="1966" t="s">
        <v>71</v>
      </c>
      <c r="C11" s="1967"/>
      <c r="D11" s="291"/>
      <c r="E11" s="291"/>
      <c r="F11" s="292"/>
      <c r="G11" s="286">
        <f t="shared" ref="G11:G24" si="1">F11-D11</f>
        <v>0</v>
      </c>
      <c r="H11" s="712"/>
      <c r="I11" s="293"/>
    </row>
    <row r="12" spans="1:9">
      <c r="A12" s="2037" t="s">
        <v>229</v>
      </c>
      <c r="B12" s="1864" t="s">
        <v>244</v>
      </c>
      <c r="C12" s="226" t="s">
        <v>162</v>
      </c>
      <c r="D12" s="972"/>
      <c r="E12" s="321"/>
      <c r="F12" s="709"/>
      <c r="G12" s="301">
        <f t="shared" si="1"/>
        <v>0</v>
      </c>
      <c r="H12" s="694"/>
      <c r="I12" s="730"/>
    </row>
    <row r="13" spans="1:9">
      <c r="A13" s="2038"/>
      <c r="B13" s="1865"/>
      <c r="C13" s="223" t="s">
        <v>174</v>
      </c>
      <c r="D13" s="973">
        <v>13340000</v>
      </c>
      <c r="E13" s="136">
        <v>13340000</v>
      </c>
      <c r="F13" s="706">
        <v>13340000</v>
      </c>
      <c r="G13" s="294">
        <f t="shared" si="1"/>
        <v>0</v>
      </c>
      <c r="H13" s="711">
        <f t="shared" ref="H13:H24" si="2">G13/D13*100%</f>
        <v>0</v>
      </c>
      <c r="I13" s="731"/>
    </row>
    <row r="14" spans="1:9" ht="17.5" thickBot="1">
      <c r="A14" s="2039"/>
      <c r="B14" s="2040" t="s">
        <v>71</v>
      </c>
      <c r="C14" s="1959"/>
      <c r="D14" s="974">
        <f>SUM(D12:D13)</f>
        <v>13340000</v>
      </c>
      <c r="E14" s="443">
        <f>SUM(E12:E13)</f>
        <v>13340000</v>
      </c>
      <c r="F14" s="708">
        <f>SUM(F12:F13)</f>
        <v>13340000</v>
      </c>
      <c r="G14" s="286">
        <f t="shared" si="1"/>
        <v>0</v>
      </c>
      <c r="H14" s="693">
        <f t="shared" si="2"/>
        <v>0</v>
      </c>
      <c r="I14" s="302"/>
    </row>
    <row r="15" spans="1:9">
      <c r="A15" s="2059" t="s">
        <v>69</v>
      </c>
      <c r="B15" s="911" t="s">
        <v>69</v>
      </c>
      <c r="C15" s="911" t="s">
        <v>69</v>
      </c>
      <c r="D15" s="707"/>
      <c r="E15" s="321"/>
      <c r="F15" s="707"/>
      <c r="G15" s="536">
        <f t="shared" si="1"/>
        <v>0</v>
      </c>
      <c r="H15" s="306"/>
      <c r="I15" s="534"/>
    </row>
    <row r="16" spans="1:9" ht="17.5" thickBot="1">
      <c r="A16" s="2060"/>
      <c r="B16" s="1958" t="s">
        <v>71</v>
      </c>
      <c r="C16" s="1974"/>
      <c r="D16" s="708">
        <f>SUM(D15)</f>
        <v>0</v>
      </c>
      <c r="E16" s="140"/>
      <c r="F16" s="708">
        <f>SUM(F15)</f>
        <v>0</v>
      </c>
      <c r="G16" s="286">
        <f t="shared" si="1"/>
        <v>0</v>
      </c>
      <c r="H16" s="693"/>
      <c r="I16" s="529"/>
    </row>
    <row r="17" spans="1:9">
      <c r="A17" s="2061" t="s">
        <v>74</v>
      </c>
      <c r="B17" s="2035" t="s">
        <v>74</v>
      </c>
      <c r="C17" s="224" t="s">
        <v>159</v>
      </c>
      <c r="D17" s="975">
        <v>1087168</v>
      </c>
      <c r="E17" s="975">
        <v>1087168</v>
      </c>
      <c r="F17" s="709">
        <v>1087168</v>
      </c>
      <c r="G17" s="535"/>
      <c r="H17" s="694">
        <f t="shared" si="2"/>
        <v>0</v>
      </c>
      <c r="I17" s="730"/>
    </row>
    <row r="18" spans="1:9" ht="34">
      <c r="A18" s="2062"/>
      <c r="B18" s="2036"/>
      <c r="C18" s="223" t="s">
        <v>286</v>
      </c>
      <c r="D18" s="973">
        <v>2000002</v>
      </c>
      <c r="E18" s="973">
        <v>2000002</v>
      </c>
      <c r="F18" s="706">
        <v>2000002</v>
      </c>
      <c r="G18" s="294"/>
      <c r="H18" s="711">
        <f t="shared" si="2"/>
        <v>0</v>
      </c>
      <c r="I18" s="731"/>
    </row>
    <row r="19" spans="1:9" ht="17.5" thickBot="1">
      <c r="A19" s="1785"/>
      <c r="B19" s="1878" t="s">
        <v>71</v>
      </c>
      <c r="C19" s="1878"/>
      <c r="D19" s="976">
        <f>SUM(D17:D18)</f>
        <v>3087170</v>
      </c>
      <c r="E19" s="976">
        <f>SUM(E17:E18)</f>
        <v>3087170</v>
      </c>
      <c r="F19" s="442">
        <f t="shared" ref="F19" si="3">SUM(F17:F18)</f>
        <v>3087170</v>
      </c>
      <c r="G19" s="590">
        <f t="shared" si="1"/>
        <v>0</v>
      </c>
      <c r="H19" s="713">
        <f t="shared" si="2"/>
        <v>0</v>
      </c>
      <c r="I19" s="297"/>
    </row>
    <row r="20" spans="1:9">
      <c r="A20" s="2034" t="s">
        <v>61</v>
      </c>
      <c r="B20" s="2056" t="s">
        <v>61</v>
      </c>
      <c r="C20" s="911" t="s">
        <v>118</v>
      </c>
      <c r="D20" s="710">
        <v>7030</v>
      </c>
      <c r="E20" s="139">
        <v>56</v>
      </c>
      <c r="F20" s="710">
        <v>990</v>
      </c>
      <c r="G20" s="977">
        <f t="shared" si="1"/>
        <v>-6040</v>
      </c>
      <c r="H20" s="591">
        <f t="shared" si="2"/>
        <v>-0.85917496443812236</v>
      </c>
      <c r="I20" s="324"/>
    </row>
    <row r="21" spans="1:9" ht="34">
      <c r="A21" s="2000"/>
      <c r="B21" s="1997"/>
      <c r="C21" s="912" t="s">
        <v>278</v>
      </c>
      <c r="D21" s="706"/>
      <c r="E21" s="136">
        <v>40</v>
      </c>
      <c r="F21" s="706">
        <v>40</v>
      </c>
      <c r="G21" s="586">
        <f t="shared" si="1"/>
        <v>40</v>
      </c>
      <c r="H21" s="317"/>
      <c r="I21" s="142"/>
    </row>
    <row r="22" spans="1:9">
      <c r="A22" s="2000"/>
      <c r="B22" s="1998"/>
      <c r="C22" s="912" t="s">
        <v>171</v>
      </c>
      <c r="D22" s="706">
        <v>1986600</v>
      </c>
      <c r="E22" s="136">
        <v>4643340</v>
      </c>
      <c r="F22" s="706">
        <v>1986600</v>
      </c>
      <c r="G22" s="294"/>
      <c r="H22" s="711">
        <f t="shared" si="2"/>
        <v>0</v>
      </c>
      <c r="I22" s="731"/>
    </row>
    <row r="23" spans="1:9" ht="17.5" thickBot="1">
      <c r="A23" s="2006"/>
      <c r="B23" s="1958" t="s">
        <v>71</v>
      </c>
      <c r="C23" s="1959"/>
      <c r="D23" s="715">
        <f>SUM(D20:D22)</f>
        <v>1993630</v>
      </c>
      <c r="E23" s="716">
        <f>SUM(E20:E22)</f>
        <v>4643436</v>
      </c>
      <c r="F23" s="715">
        <f>SUM(F20:F22)</f>
        <v>1987630</v>
      </c>
      <c r="G23" s="717"/>
      <c r="H23" s="713">
        <f t="shared" si="2"/>
        <v>0</v>
      </c>
      <c r="I23" s="540"/>
    </row>
    <row r="24" spans="1:9" ht="17.5" thickBot="1">
      <c r="A24" s="2063" t="s">
        <v>76</v>
      </c>
      <c r="B24" s="1960"/>
      <c r="C24" s="2064"/>
      <c r="D24" s="537">
        <f>D9+D14+D16+D19+D23</f>
        <v>27050000</v>
      </c>
      <c r="E24" s="537">
        <f>E9+E14+E16+E19+E23</f>
        <v>21070606</v>
      </c>
      <c r="F24" s="537">
        <f t="shared" ref="F24" si="4">SUM(F9,F11,F14,F16,F19,F23)</f>
        <v>27044000</v>
      </c>
      <c r="G24" s="538">
        <f t="shared" si="1"/>
        <v>-6000</v>
      </c>
      <c r="H24" s="714">
        <f t="shared" si="2"/>
        <v>-2.2181146025878004E-4</v>
      </c>
      <c r="I24" s="539"/>
    </row>
    <row r="25" spans="1:9" ht="21.5" thickBot="1">
      <c r="A25" s="2030" t="s">
        <v>10</v>
      </c>
      <c r="B25" s="2031"/>
      <c r="C25" s="2031"/>
      <c r="D25" s="2065"/>
      <c r="E25" s="2065"/>
      <c r="F25" s="2065"/>
      <c r="G25" s="2065"/>
      <c r="H25" s="2031"/>
      <c r="I25" s="2032"/>
    </row>
    <row r="26" spans="1:9" ht="17.5" customHeight="1">
      <c r="A26" s="1860" t="s">
        <v>156</v>
      </c>
      <c r="B26" s="1861"/>
      <c r="C26" s="2066"/>
      <c r="D26" s="2067" t="s">
        <v>283</v>
      </c>
      <c r="E26" s="2052" t="s">
        <v>51</v>
      </c>
      <c r="F26" s="2052" t="s">
        <v>39</v>
      </c>
      <c r="G26" s="2052" t="s">
        <v>108</v>
      </c>
      <c r="H26" s="2054" t="s">
        <v>186</v>
      </c>
      <c r="I26" s="2069" t="s">
        <v>146</v>
      </c>
    </row>
    <row r="27" spans="1:9" ht="18" customHeight="1" thickBot="1">
      <c r="A27" s="336" t="s">
        <v>78</v>
      </c>
      <c r="B27" s="337" t="s">
        <v>88</v>
      </c>
      <c r="C27" s="496" t="s">
        <v>89</v>
      </c>
      <c r="D27" s="2068"/>
      <c r="E27" s="2053"/>
      <c r="F27" s="2053"/>
      <c r="G27" s="2053"/>
      <c r="H27" s="2055"/>
      <c r="I27" s="2070"/>
    </row>
    <row r="28" spans="1:9">
      <c r="A28" s="2010" t="s">
        <v>93</v>
      </c>
      <c r="B28" s="1986" t="s">
        <v>62</v>
      </c>
      <c r="C28" s="222" t="s">
        <v>91</v>
      </c>
      <c r="D28" s="978">
        <v>19225000</v>
      </c>
      <c r="E28" s="233">
        <v>16374790</v>
      </c>
      <c r="F28" s="233">
        <v>19174790</v>
      </c>
      <c r="G28" s="294">
        <f>F28-D28</f>
        <v>-50210</v>
      </c>
      <c r="H28" s="218">
        <f>G28/D28*100%</f>
        <v>-2.6117035110533159E-3</v>
      </c>
      <c r="I28" s="979" t="s">
        <v>315</v>
      </c>
    </row>
    <row r="29" spans="1:9">
      <c r="A29" s="2010"/>
      <c r="B29" s="1986"/>
      <c r="C29" s="223" t="s">
        <v>158</v>
      </c>
      <c r="D29" s="978">
        <v>1702070</v>
      </c>
      <c r="E29" s="233">
        <v>1445410</v>
      </c>
      <c r="F29" s="233">
        <v>1695410</v>
      </c>
      <c r="G29" s="294">
        <f t="shared" ref="G29:G51" si="5">F29-D29</f>
        <v>-6660</v>
      </c>
      <c r="H29" s="218">
        <f t="shared" ref="H29:H52" si="6">G29/D29*100%</f>
        <v>-3.9128825488963436E-3</v>
      </c>
      <c r="I29" s="979" t="s">
        <v>316</v>
      </c>
    </row>
    <row r="30" spans="1:9">
      <c r="A30" s="2010"/>
      <c r="B30" s="1986"/>
      <c r="C30" s="223" t="s">
        <v>181</v>
      </c>
      <c r="D30" s="978">
        <v>2076270</v>
      </c>
      <c r="E30" s="233">
        <v>1776620</v>
      </c>
      <c r="F30" s="261">
        <v>2072680</v>
      </c>
      <c r="G30" s="294">
        <f t="shared" si="5"/>
        <v>-3590</v>
      </c>
      <c r="H30" s="218">
        <f t="shared" si="6"/>
        <v>-1.729062212525346E-3</v>
      </c>
      <c r="I30" s="980" t="s">
        <v>317</v>
      </c>
    </row>
    <row r="31" spans="1:9">
      <c r="A31" s="2010"/>
      <c r="B31" s="1986"/>
      <c r="C31" s="223" t="s">
        <v>176</v>
      </c>
      <c r="D31" s="978">
        <v>1200000</v>
      </c>
      <c r="E31" s="233">
        <v>970000</v>
      </c>
      <c r="F31" s="261">
        <v>1170000</v>
      </c>
      <c r="G31" s="294">
        <f t="shared" si="5"/>
        <v>-30000</v>
      </c>
      <c r="H31" s="218">
        <f t="shared" si="6"/>
        <v>-2.5000000000000001E-2</v>
      </c>
      <c r="I31" s="980" t="s">
        <v>318</v>
      </c>
    </row>
    <row r="32" spans="1:9" ht="17.5" thickBot="1">
      <c r="A32" s="2010"/>
      <c r="B32" s="1989"/>
      <c r="C32" s="227" t="s">
        <v>71</v>
      </c>
      <c r="D32" s="981">
        <f>SUM(D28:D31)</f>
        <v>24203340</v>
      </c>
      <c r="E32" s="69">
        <f>SUM(E28:E31)</f>
        <v>20566820</v>
      </c>
      <c r="F32" s="262">
        <f>SUM(F28:F31)</f>
        <v>24112880</v>
      </c>
      <c r="G32" s="273">
        <f t="shared" si="5"/>
        <v>-90460</v>
      </c>
      <c r="H32" s="703">
        <f t="shared" si="6"/>
        <v>-3.7375006920532454E-3</v>
      </c>
      <c r="I32" s="982"/>
    </row>
    <row r="33" spans="1:9">
      <c r="A33" s="2010"/>
      <c r="B33" s="1988" t="s">
        <v>193</v>
      </c>
      <c r="C33" s="226" t="s">
        <v>148</v>
      </c>
      <c r="D33" s="983">
        <v>50000</v>
      </c>
      <c r="E33" s="984">
        <v>0</v>
      </c>
      <c r="F33" s="985">
        <v>0</v>
      </c>
      <c r="G33" s="301">
        <f t="shared" si="5"/>
        <v>-50000</v>
      </c>
      <c r="H33" s="271">
        <f t="shared" si="6"/>
        <v>-1</v>
      </c>
      <c r="I33" s="986" t="s">
        <v>319</v>
      </c>
    </row>
    <row r="34" spans="1:9">
      <c r="A34" s="2010"/>
      <c r="B34" s="1986"/>
      <c r="C34" s="223" t="s">
        <v>83</v>
      </c>
      <c r="D34" s="987"/>
      <c r="E34" s="988"/>
      <c r="F34" s="989"/>
      <c r="G34" s="294"/>
      <c r="H34" s="218"/>
      <c r="I34" s="990"/>
    </row>
    <row r="35" spans="1:9" ht="17.5" thickBot="1">
      <c r="A35" s="2010"/>
      <c r="B35" s="1989"/>
      <c r="C35" s="227" t="s">
        <v>71</v>
      </c>
      <c r="D35" s="981">
        <f>SUM(D33:D34)</f>
        <v>50000</v>
      </c>
      <c r="E35" s="981">
        <f>SUM(E33:E34)</f>
        <v>0</v>
      </c>
      <c r="F35" s="262">
        <f>SUM(F33:F34)</f>
        <v>0</v>
      </c>
      <c r="G35" s="273">
        <f t="shared" si="5"/>
        <v>-50000</v>
      </c>
      <c r="H35" s="703">
        <f t="shared" si="6"/>
        <v>-1</v>
      </c>
      <c r="I35" s="70"/>
    </row>
    <row r="36" spans="1:9">
      <c r="A36" s="2010"/>
      <c r="B36" s="1986" t="s">
        <v>77</v>
      </c>
      <c r="C36" s="222" t="s">
        <v>60</v>
      </c>
      <c r="D36" s="983">
        <v>50000</v>
      </c>
      <c r="E36" s="991">
        <v>0</v>
      </c>
      <c r="F36" s="992">
        <v>0</v>
      </c>
      <c r="G36" s="586">
        <f t="shared" si="5"/>
        <v>-50000</v>
      </c>
      <c r="H36" s="271">
        <f t="shared" si="6"/>
        <v>-1</v>
      </c>
      <c r="I36" s="993" t="s">
        <v>319</v>
      </c>
    </row>
    <row r="37" spans="1:9">
      <c r="A37" s="2010"/>
      <c r="B37" s="1986"/>
      <c r="C37" s="223" t="s">
        <v>173</v>
      </c>
      <c r="D37" s="987"/>
      <c r="E37" s="988"/>
      <c r="F37" s="989"/>
      <c r="G37" s="294"/>
      <c r="H37" s="218"/>
      <c r="I37" s="979"/>
    </row>
    <row r="38" spans="1:9">
      <c r="A38" s="2010"/>
      <c r="B38" s="1986"/>
      <c r="C38" s="223" t="s">
        <v>161</v>
      </c>
      <c r="D38" s="987">
        <v>50000</v>
      </c>
      <c r="E38" s="988">
        <v>0</v>
      </c>
      <c r="F38" s="989">
        <v>0</v>
      </c>
      <c r="G38" s="294">
        <f t="shared" si="5"/>
        <v>-50000</v>
      </c>
      <c r="H38" s="218">
        <f t="shared" si="6"/>
        <v>-1</v>
      </c>
      <c r="I38" s="979" t="s">
        <v>319</v>
      </c>
    </row>
    <row r="39" spans="1:9">
      <c r="A39" s="2010"/>
      <c r="B39" s="1986"/>
      <c r="C39" s="223" t="s">
        <v>168</v>
      </c>
      <c r="D39" s="987"/>
      <c r="E39" s="988"/>
      <c r="F39" s="989"/>
      <c r="G39" s="294"/>
      <c r="H39" s="218"/>
      <c r="I39" s="979"/>
    </row>
    <row r="40" spans="1:9">
      <c r="A40" s="2010"/>
      <c r="B40" s="1986"/>
      <c r="C40" s="223" t="s">
        <v>151</v>
      </c>
      <c r="D40" s="987"/>
      <c r="E40" s="988"/>
      <c r="F40" s="989"/>
      <c r="G40" s="294"/>
      <c r="H40" s="218"/>
      <c r="I40" s="994"/>
    </row>
    <row r="41" spans="1:9">
      <c r="A41" s="2010"/>
      <c r="B41" s="1987"/>
      <c r="C41" s="282" t="s">
        <v>71</v>
      </c>
      <c r="D41" s="995">
        <f>SUM(D36:D40)</f>
        <v>100000</v>
      </c>
      <c r="E41" s="995">
        <f>SUM(E36:E40)</f>
        <v>0</v>
      </c>
      <c r="F41" s="266">
        <f>SUM(F36:F40)</f>
        <v>0</v>
      </c>
      <c r="G41" s="294">
        <f t="shared" si="5"/>
        <v>-100000</v>
      </c>
      <c r="H41" s="218">
        <f t="shared" si="6"/>
        <v>-1</v>
      </c>
      <c r="I41" s="996" t="s">
        <v>320</v>
      </c>
    </row>
    <row r="42" spans="1:9" ht="17.5" thickBot="1">
      <c r="A42" s="1874"/>
      <c r="B42" s="1958" t="s">
        <v>71</v>
      </c>
      <c r="C42" s="1974"/>
      <c r="D42" s="997">
        <f>D32+D35+D41</f>
        <v>24353340</v>
      </c>
      <c r="E42" s="69">
        <f>E32+E35+E41</f>
        <v>20566820</v>
      </c>
      <c r="F42" s="262">
        <f>F32+F35+F41</f>
        <v>24112880</v>
      </c>
      <c r="G42" s="273">
        <f t="shared" si="5"/>
        <v>-240460</v>
      </c>
      <c r="H42" s="703">
        <f t="shared" si="6"/>
        <v>-9.8737996513003964E-3</v>
      </c>
      <c r="I42" s="998"/>
    </row>
    <row r="43" spans="1:9" ht="0.5" customHeight="1" thickBot="1">
      <c r="A43" s="2071" t="s">
        <v>509</v>
      </c>
      <c r="B43" s="1988" t="s">
        <v>75</v>
      </c>
      <c r="C43" s="964" t="s">
        <v>508</v>
      </c>
      <c r="D43" s="999"/>
      <c r="E43" s="1000"/>
      <c r="F43" s="301"/>
      <c r="G43" s="301">
        <f t="shared" si="5"/>
        <v>0</v>
      </c>
      <c r="H43" s="271"/>
      <c r="I43" s="1001"/>
    </row>
    <row r="44" spans="1:9" ht="17.5" hidden="1" thickBot="1">
      <c r="A44" s="1975"/>
      <c r="B44" s="1987"/>
      <c r="C44" s="223" t="s">
        <v>150</v>
      </c>
      <c r="D44" s="1002"/>
      <c r="E44" s="1003"/>
      <c r="F44" s="1002"/>
      <c r="G44" s="294">
        <f t="shared" si="5"/>
        <v>0</v>
      </c>
      <c r="H44" s="218" t="e">
        <f t="shared" si="6"/>
        <v>#DIV/0!</v>
      </c>
      <c r="I44" s="990"/>
    </row>
    <row r="45" spans="1:9" ht="17.5" hidden="1" thickBot="1">
      <c r="A45" s="1976"/>
      <c r="B45" s="1958" t="s">
        <v>71</v>
      </c>
      <c r="C45" s="1974"/>
      <c r="D45" s="267">
        <f>SUM(D43:D44)</f>
        <v>0</v>
      </c>
      <c r="E45" s="69">
        <f>SUM(E43:E44)</f>
        <v>0</v>
      </c>
      <c r="F45" s="267">
        <f>SUM(F43:F44)</f>
        <v>0</v>
      </c>
      <c r="G45" s="273">
        <f t="shared" si="5"/>
        <v>0</v>
      </c>
      <c r="H45" s="218" t="e">
        <f t="shared" si="6"/>
        <v>#DIV/0!</v>
      </c>
      <c r="I45" s="274"/>
    </row>
    <row r="46" spans="1:9">
      <c r="A46" s="1873" t="s">
        <v>80</v>
      </c>
      <c r="B46" s="226" t="s">
        <v>80</v>
      </c>
      <c r="C46" s="226" t="s">
        <v>80</v>
      </c>
      <c r="D46" s="1004">
        <v>200000</v>
      </c>
      <c r="E46" s="984">
        <v>323098</v>
      </c>
      <c r="F46" s="985">
        <v>325000</v>
      </c>
      <c r="G46" s="301">
        <f t="shared" si="5"/>
        <v>125000</v>
      </c>
      <c r="H46" s="218">
        <f t="shared" si="6"/>
        <v>0.625</v>
      </c>
      <c r="I46" s="1005" t="s">
        <v>321</v>
      </c>
    </row>
    <row r="47" spans="1:9" ht="17.5" thickBot="1">
      <c r="A47" s="1874"/>
      <c r="B47" s="1958" t="s">
        <v>71</v>
      </c>
      <c r="C47" s="1974"/>
      <c r="D47" s="981">
        <f>SUM(D46)</f>
        <v>200000</v>
      </c>
      <c r="E47" s="69">
        <f>SUM(E46)</f>
        <v>323098</v>
      </c>
      <c r="F47" s="262">
        <f>SUM(F46)</f>
        <v>325000</v>
      </c>
      <c r="G47" s="273">
        <f t="shared" si="5"/>
        <v>125000</v>
      </c>
      <c r="H47" s="691">
        <f t="shared" si="6"/>
        <v>0.625</v>
      </c>
      <c r="I47" s="274"/>
    </row>
    <row r="48" spans="1:9">
      <c r="A48" s="1873" t="s">
        <v>79</v>
      </c>
      <c r="B48" s="226" t="s">
        <v>131</v>
      </c>
      <c r="C48" s="226" t="s">
        <v>79</v>
      </c>
      <c r="D48" s="1006"/>
      <c r="E48" s="220"/>
      <c r="F48" s="220"/>
      <c r="G48" s="301">
        <f t="shared" si="5"/>
        <v>0</v>
      </c>
      <c r="H48" s="271"/>
      <c r="I48" s="58"/>
    </row>
    <row r="49" spans="1:9" ht="17.5" thickBot="1">
      <c r="A49" s="1874"/>
      <c r="B49" s="227" t="s">
        <v>71</v>
      </c>
      <c r="C49" s="227"/>
      <c r="D49" s="1007"/>
      <c r="E49" s="69"/>
      <c r="F49" s="69"/>
      <c r="G49" s="273">
        <f t="shared" si="5"/>
        <v>0</v>
      </c>
      <c r="H49" s="691"/>
      <c r="I49" s="70"/>
    </row>
    <row r="50" spans="1:9" ht="34">
      <c r="A50" s="2010" t="s">
        <v>165</v>
      </c>
      <c r="B50" s="280" t="s">
        <v>165</v>
      </c>
      <c r="C50" s="280" t="s">
        <v>282</v>
      </c>
      <c r="D50" s="1008">
        <v>2496660</v>
      </c>
      <c r="E50" s="585"/>
      <c r="F50" s="585">
        <v>2606120</v>
      </c>
      <c r="G50" s="586">
        <f t="shared" si="5"/>
        <v>109460</v>
      </c>
      <c r="H50" s="271">
        <f t="shared" si="6"/>
        <v>4.3842573678434388E-2</v>
      </c>
      <c r="I50" s="1009" t="s">
        <v>322</v>
      </c>
    </row>
    <row r="51" spans="1:9" ht="17.5" thickBot="1">
      <c r="A51" s="2010"/>
      <c r="B51" s="228" t="s">
        <v>71</v>
      </c>
      <c r="C51" s="228"/>
      <c r="D51" s="1010">
        <f>SUM(D50)</f>
        <v>2496660</v>
      </c>
      <c r="E51" s="147"/>
      <c r="F51" s="147">
        <f>SUM(F50)</f>
        <v>2606120</v>
      </c>
      <c r="G51" s="294">
        <f t="shared" si="5"/>
        <v>109460</v>
      </c>
      <c r="H51" s="691">
        <f t="shared" si="6"/>
        <v>4.3842573678434388E-2</v>
      </c>
      <c r="I51" s="148"/>
    </row>
    <row r="52" spans="1:9" ht="17.5" thickBot="1">
      <c r="A52" s="2014" t="s">
        <v>76</v>
      </c>
      <c r="B52" s="2015"/>
      <c r="C52" s="2015"/>
      <c r="D52" s="1011">
        <f>D42+D47+D51</f>
        <v>27050000</v>
      </c>
      <c r="E52" s="150">
        <f t="shared" ref="E52:F52" si="7">SUM(E42,E45,E47,E49,E51)</f>
        <v>20889918</v>
      </c>
      <c r="F52" s="150">
        <f t="shared" si="7"/>
        <v>27044000</v>
      </c>
      <c r="G52" s="906">
        <f>F52-D52</f>
        <v>-6000</v>
      </c>
      <c r="H52" s="718">
        <f t="shared" si="6"/>
        <v>-2.2181146025878004E-4</v>
      </c>
      <c r="I52" s="149"/>
    </row>
  </sheetData>
  <mergeCells count="48">
    <mergeCell ref="A52:C52"/>
    <mergeCell ref="B42:C42"/>
    <mergeCell ref="A46:A47"/>
    <mergeCell ref="B47:C47"/>
    <mergeCell ref="A48:A49"/>
    <mergeCell ref="A50:A51"/>
    <mergeCell ref="A43:A45"/>
    <mergeCell ref="B43:B44"/>
    <mergeCell ref="B45:C45"/>
    <mergeCell ref="A28:A42"/>
    <mergeCell ref="B28:B32"/>
    <mergeCell ref="B33:B35"/>
    <mergeCell ref="B36:B41"/>
    <mergeCell ref="A24:C24"/>
    <mergeCell ref="A25:I25"/>
    <mergeCell ref="A26:C26"/>
    <mergeCell ref="D26:D27"/>
    <mergeCell ref="E26:E27"/>
    <mergeCell ref="F26:F27"/>
    <mergeCell ref="G26:G27"/>
    <mergeCell ref="H26:H27"/>
    <mergeCell ref="I26:I27"/>
    <mergeCell ref="A20:A23"/>
    <mergeCell ref="B20:B22"/>
    <mergeCell ref="B23:C23"/>
    <mergeCell ref="I6:I7"/>
    <mergeCell ref="A8:A9"/>
    <mergeCell ref="B9:C9"/>
    <mergeCell ref="A10:A11"/>
    <mergeCell ref="B11:C11"/>
    <mergeCell ref="A12:A14"/>
    <mergeCell ref="B12:B13"/>
    <mergeCell ref="B14:C14"/>
    <mergeCell ref="A15:A16"/>
    <mergeCell ref="B16:C16"/>
    <mergeCell ref="A17:A19"/>
    <mergeCell ref="B17:B18"/>
    <mergeCell ref="B19:C1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</mergeCells>
  <phoneticPr fontId="25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6E0B3"/>
  </sheetPr>
  <dimension ref="A1:I119"/>
  <sheetViews>
    <sheetView topLeftCell="A40" zoomScale="80" zoomScaleNormal="80" zoomScaleSheetLayoutView="75" workbookViewId="0">
      <selection activeCell="D57" sqref="D57"/>
    </sheetView>
  </sheetViews>
  <sheetFormatPr defaultColWidth="9" defaultRowHeight="17"/>
  <cols>
    <col min="1" max="1" width="14.25" style="3" customWidth="1"/>
    <col min="2" max="2" width="12.83203125" style="4" customWidth="1"/>
    <col min="3" max="3" width="21.58203125" style="4" customWidth="1"/>
    <col min="4" max="4" width="17.58203125" style="3" customWidth="1"/>
    <col min="5" max="5" width="21.25" style="3" customWidth="1"/>
    <col min="6" max="6" width="23" style="3" customWidth="1"/>
    <col min="7" max="7" width="20.08203125" style="3" customWidth="1"/>
    <col min="8" max="8" width="12.58203125" style="3" customWidth="1"/>
    <col min="9" max="9" width="38.25" style="3" customWidth="1"/>
    <col min="10" max="16384" width="9" style="3"/>
  </cols>
  <sheetData>
    <row r="1" spans="1:9">
      <c r="A1" s="2075"/>
      <c r="B1" s="2075"/>
      <c r="C1" s="2075"/>
      <c r="D1" s="2075"/>
      <c r="E1" s="2075"/>
      <c r="F1" s="2075"/>
      <c r="G1" s="2075"/>
      <c r="H1" s="2075"/>
      <c r="I1" s="2075"/>
    </row>
    <row r="2" spans="1:9" ht="44.25" customHeight="1">
      <c r="A2" s="2080" t="s">
        <v>257</v>
      </c>
      <c r="B2" s="2080"/>
      <c r="C2" s="2080"/>
      <c r="D2" s="2080"/>
      <c r="E2" s="2080"/>
      <c r="F2" s="2080"/>
      <c r="G2" s="2080"/>
      <c r="H2" s="2080"/>
      <c r="I2" s="2080"/>
    </row>
    <row r="3" spans="1:9" s="1" customFormat="1" ht="32.15" customHeight="1">
      <c r="A3" s="2072" t="s">
        <v>258</v>
      </c>
      <c r="B3" s="2072"/>
      <c r="C3" s="2072"/>
      <c r="D3" s="2072"/>
      <c r="E3" s="2072"/>
      <c r="F3" s="2072"/>
      <c r="G3" s="2072"/>
      <c r="H3" s="2072"/>
      <c r="I3" s="2072"/>
    </row>
    <row r="4" spans="1:9" s="1" customFormat="1" ht="26.15" customHeight="1">
      <c r="A4" s="2072"/>
      <c r="B4" s="2072"/>
      <c r="C4" s="2072"/>
      <c r="D4" s="2072"/>
      <c r="E4" s="2072"/>
      <c r="F4" s="2072"/>
      <c r="G4" s="2072"/>
      <c r="H4" s="2072"/>
      <c r="I4" s="2072"/>
    </row>
    <row r="5" spans="1:9">
      <c r="A5" s="2081" t="s">
        <v>28</v>
      </c>
      <c r="B5" s="2081"/>
      <c r="C5" s="2081"/>
      <c r="D5" s="2081"/>
      <c r="E5" s="2081"/>
      <c r="F5" s="2081"/>
      <c r="G5" s="2081"/>
      <c r="H5" s="2081"/>
      <c r="I5" s="2081"/>
    </row>
    <row r="6" spans="1:9" ht="17.25" customHeight="1">
      <c r="A6" s="1841" t="s">
        <v>82</v>
      </c>
      <c r="B6" s="1842"/>
      <c r="C6" s="1842"/>
      <c r="D6" s="2082" t="s">
        <v>283</v>
      </c>
      <c r="E6" s="1799" t="s">
        <v>49</v>
      </c>
      <c r="F6" s="1799" t="s">
        <v>39</v>
      </c>
      <c r="G6" s="1801" t="s">
        <v>108</v>
      </c>
      <c r="H6" s="2076" t="s">
        <v>186</v>
      </c>
      <c r="I6" s="1858" t="s">
        <v>146</v>
      </c>
    </row>
    <row r="7" spans="1:9" ht="17.25" customHeight="1">
      <c r="A7" s="92" t="s">
        <v>78</v>
      </c>
      <c r="B7" s="155" t="s">
        <v>88</v>
      </c>
      <c r="C7" s="155" t="s">
        <v>89</v>
      </c>
      <c r="D7" s="2083"/>
      <c r="E7" s="1800"/>
      <c r="F7" s="1800"/>
      <c r="G7" s="1802"/>
      <c r="H7" s="2077"/>
      <c r="I7" s="1859"/>
    </row>
    <row r="8" spans="1:9" ht="33" customHeight="1">
      <c r="A8" s="1905" t="s">
        <v>285</v>
      </c>
      <c r="B8" s="1835" t="s">
        <v>136</v>
      </c>
      <c r="C8" s="733" t="s">
        <v>141</v>
      </c>
      <c r="D8" s="762"/>
      <c r="E8" s="762"/>
      <c r="F8" s="762"/>
      <c r="G8" s="1638"/>
      <c r="H8" s="773"/>
      <c r="I8" s="789"/>
    </row>
    <row r="9" spans="1:9">
      <c r="A9" s="1906"/>
      <c r="B9" s="1836"/>
      <c r="C9" s="734" t="s">
        <v>239</v>
      </c>
      <c r="D9" s="755"/>
      <c r="E9" s="755"/>
      <c r="F9" s="755"/>
      <c r="G9" s="1638"/>
      <c r="H9" s="773"/>
      <c r="I9" s="790"/>
    </row>
    <row r="10" spans="1:9">
      <c r="A10" s="1906"/>
      <c r="B10" s="1836"/>
      <c r="C10" s="734" t="s">
        <v>187</v>
      </c>
      <c r="D10" s="755"/>
      <c r="E10" s="755"/>
      <c r="F10" s="755"/>
      <c r="G10" s="1638"/>
      <c r="H10" s="773"/>
      <c r="I10" s="790"/>
    </row>
    <row r="11" spans="1:9">
      <c r="A11" s="1906"/>
      <c r="B11" s="1836"/>
      <c r="C11" s="734" t="s">
        <v>208</v>
      </c>
      <c r="D11" s="755"/>
      <c r="E11" s="755"/>
      <c r="F11" s="755"/>
      <c r="G11" s="1638"/>
      <c r="H11" s="773"/>
      <c r="I11" s="790"/>
    </row>
    <row r="12" spans="1:9">
      <c r="A12" s="1906"/>
      <c r="B12" s="1814"/>
      <c r="C12" s="734" t="s">
        <v>204</v>
      </c>
      <c r="D12" s="755"/>
      <c r="E12" s="755"/>
      <c r="F12" s="755"/>
      <c r="G12" s="1638"/>
      <c r="H12" s="773"/>
      <c r="I12" s="790"/>
    </row>
    <row r="13" spans="1:9">
      <c r="A13" s="1907"/>
      <c r="B13" s="1903" t="s">
        <v>71</v>
      </c>
      <c r="C13" s="1904"/>
      <c r="D13" s="750"/>
      <c r="E13" s="750"/>
      <c r="F13" s="750"/>
      <c r="G13" s="1639"/>
      <c r="H13" s="774"/>
      <c r="I13" s="791"/>
    </row>
    <row r="14" spans="1:9" ht="32">
      <c r="A14" s="2073" t="s">
        <v>164</v>
      </c>
      <c r="B14" s="1835" t="s">
        <v>164</v>
      </c>
      <c r="C14" s="733" t="s">
        <v>106</v>
      </c>
      <c r="D14" s="742">
        <v>42240000</v>
      </c>
      <c r="E14" s="764">
        <v>29120000</v>
      </c>
      <c r="F14" s="764">
        <v>42240000</v>
      </c>
      <c r="G14" s="1638">
        <v>0</v>
      </c>
      <c r="H14" s="773">
        <v>0</v>
      </c>
      <c r="I14" s="907" t="s">
        <v>37</v>
      </c>
    </row>
    <row r="15" spans="1:9" ht="32">
      <c r="A15" s="1946"/>
      <c r="B15" s="1836"/>
      <c r="C15" s="734" t="s">
        <v>111</v>
      </c>
      <c r="D15" s="743">
        <v>76800000</v>
      </c>
      <c r="E15" s="765">
        <v>57397200</v>
      </c>
      <c r="F15" s="765">
        <v>76800000</v>
      </c>
      <c r="G15" s="1638">
        <v>0</v>
      </c>
      <c r="H15" s="773">
        <v>0</v>
      </c>
      <c r="I15" s="781" t="s">
        <v>1</v>
      </c>
    </row>
    <row r="16" spans="1:9" ht="32">
      <c r="A16" s="1946"/>
      <c r="B16" s="1836"/>
      <c r="C16" s="734" t="s">
        <v>117</v>
      </c>
      <c r="D16" s="743">
        <v>69120000</v>
      </c>
      <c r="E16" s="765">
        <v>59680000</v>
      </c>
      <c r="F16" s="765">
        <v>80640000</v>
      </c>
      <c r="G16" s="1638">
        <v>11520000</v>
      </c>
      <c r="H16" s="773">
        <v>0.16666666666666666</v>
      </c>
      <c r="I16" s="781" t="s">
        <v>3</v>
      </c>
    </row>
    <row r="17" spans="1:9" ht="48">
      <c r="A17" s="1946"/>
      <c r="B17" s="1836"/>
      <c r="C17" s="734" t="s">
        <v>112</v>
      </c>
      <c r="D17" s="743">
        <v>112680000</v>
      </c>
      <c r="E17" s="765">
        <v>83450750</v>
      </c>
      <c r="F17" s="765">
        <v>116190000</v>
      </c>
      <c r="G17" s="1638">
        <v>3510000</v>
      </c>
      <c r="H17" s="773">
        <v>3.1150159744408944E-2</v>
      </c>
      <c r="I17" s="781" t="s">
        <v>11</v>
      </c>
    </row>
    <row r="18" spans="1:9">
      <c r="A18" s="1946"/>
      <c r="B18" s="1836"/>
      <c r="C18" s="733" t="s">
        <v>190</v>
      </c>
      <c r="D18" s="743">
        <v>400000</v>
      </c>
      <c r="E18" s="765">
        <v>400000</v>
      </c>
      <c r="F18" s="765">
        <v>400000</v>
      </c>
      <c r="G18" s="1638">
        <v>0</v>
      </c>
      <c r="H18" s="773">
        <v>0</v>
      </c>
      <c r="I18" s="790" t="s">
        <v>287</v>
      </c>
    </row>
    <row r="19" spans="1:9">
      <c r="A19" s="1946"/>
      <c r="B19" s="1836"/>
      <c r="C19" s="739" t="s">
        <v>214</v>
      </c>
      <c r="D19" s="743"/>
      <c r="E19" s="765"/>
      <c r="F19" s="765"/>
      <c r="G19" s="1638"/>
      <c r="H19" s="773"/>
      <c r="I19" s="790"/>
    </row>
    <row r="20" spans="1:9">
      <c r="A20" s="1946"/>
      <c r="B20" s="1836"/>
      <c r="C20" s="739" t="s">
        <v>183</v>
      </c>
      <c r="D20" s="743"/>
      <c r="E20" s="765"/>
      <c r="F20" s="765"/>
      <c r="G20" s="1638"/>
      <c r="H20" s="773"/>
      <c r="I20" s="790"/>
    </row>
    <row r="21" spans="1:9" s="5" customFormat="1">
      <c r="A21" s="1946"/>
      <c r="B21" s="1814"/>
      <c r="C21" s="739" t="s">
        <v>195</v>
      </c>
      <c r="D21" s="744"/>
      <c r="E21" s="761"/>
      <c r="F21" s="761"/>
      <c r="G21" s="1638"/>
      <c r="H21" s="773"/>
      <c r="I21" s="782"/>
    </row>
    <row r="22" spans="1:9" s="5" customFormat="1">
      <c r="A22" s="2074"/>
      <c r="B22" s="2078" t="s">
        <v>71</v>
      </c>
      <c r="C22" s="2079"/>
      <c r="D22" s="745">
        <v>301240000</v>
      </c>
      <c r="E22" s="746">
        <v>230047950</v>
      </c>
      <c r="F22" s="746">
        <v>316270000</v>
      </c>
      <c r="G22" s="1641">
        <v>15030000</v>
      </c>
      <c r="H22" s="775">
        <v>4.9893772407382818E-2</v>
      </c>
      <c r="I22" s="785"/>
    </row>
    <row r="23" spans="1:9" s="5" customFormat="1" ht="65.25" customHeight="1">
      <c r="A23" s="1908" t="s">
        <v>197</v>
      </c>
      <c r="B23" s="1835" t="s">
        <v>197</v>
      </c>
      <c r="C23" s="735" t="s">
        <v>211</v>
      </c>
      <c r="D23" s="747">
        <v>0</v>
      </c>
      <c r="E23" s="764">
        <v>3500000</v>
      </c>
      <c r="F23" s="764">
        <v>3500000</v>
      </c>
      <c r="G23" s="1642">
        <v>3500000</v>
      </c>
      <c r="H23" s="773"/>
      <c r="I23" s="783" t="s">
        <v>40</v>
      </c>
    </row>
    <row r="24" spans="1:9" s="5" customFormat="1" ht="65.25" customHeight="1">
      <c r="A24" s="1909"/>
      <c r="B24" s="1836"/>
      <c r="C24" s="734" t="s">
        <v>166</v>
      </c>
      <c r="D24" s="748">
        <v>1112401000</v>
      </c>
      <c r="E24" s="765">
        <v>1066653380</v>
      </c>
      <c r="F24" s="765">
        <v>1066658000</v>
      </c>
      <c r="G24" s="1643">
        <v>-45743000</v>
      </c>
      <c r="H24" s="773">
        <v>-4.1120962674431251E-2</v>
      </c>
      <c r="I24" s="793" t="s">
        <v>27</v>
      </c>
    </row>
    <row r="25" spans="1:9" s="5" customFormat="1" ht="65.25" customHeight="1">
      <c r="A25" s="1909"/>
      <c r="B25" s="1836"/>
      <c r="C25" s="734" t="s">
        <v>163</v>
      </c>
      <c r="D25" s="748">
        <v>434612000</v>
      </c>
      <c r="E25" s="765">
        <v>510505300</v>
      </c>
      <c r="F25" s="765">
        <v>510509000</v>
      </c>
      <c r="G25" s="1643">
        <v>75897000</v>
      </c>
      <c r="H25" s="773">
        <v>0.17463162544982652</v>
      </c>
      <c r="I25" s="793" t="s">
        <v>23</v>
      </c>
    </row>
    <row r="26" spans="1:9" s="5" customFormat="1" ht="65.25" customHeight="1">
      <c r="A26" s="1909"/>
      <c r="B26" s="1814"/>
      <c r="C26" s="734" t="s">
        <v>177</v>
      </c>
      <c r="D26" s="748">
        <v>78830000</v>
      </c>
      <c r="E26" s="765">
        <v>28890450</v>
      </c>
      <c r="F26" s="765">
        <v>51430000</v>
      </c>
      <c r="G26" s="1643">
        <v>-27400000</v>
      </c>
      <c r="H26" s="773">
        <v>-0.34758340733223392</v>
      </c>
      <c r="I26" s="794" t="s">
        <v>19</v>
      </c>
    </row>
    <row r="27" spans="1:9" s="5" customFormat="1" ht="65.25" customHeight="1">
      <c r="A27" s="1910"/>
      <c r="B27" s="1903" t="s">
        <v>71</v>
      </c>
      <c r="C27" s="1904"/>
      <c r="D27" s="749">
        <v>1625843000</v>
      </c>
      <c r="E27" s="750">
        <v>1609549130</v>
      </c>
      <c r="F27" s="750">
        <v>1632097000</v>
      </c>
      <c r="G27" s="1644">
        <v>6254000</v>
      </c>
      <c r="H27" s="776">
        <v>3.8466198765809492E-3</v>
      </c>
      <c r="I27" s="784"/>
    </row>
    <row r="28" spans="1:9" s="5" customFormat="1" ht="224">
      <c r="A28" s="1905" t="s">
        <v>229</v>
      </c>
      <c r="B28" s="1835" t="s">
        <v>229</v>
      </c>
      <c r="C28" s="738" t="s">
        <v>162</v>
      </c>
      <c r="D28" s="751">
        <v>165205000</v>
      </c>
      <c r="E28" s="763">
        <v>156829475</v>
      </c>
      <c r="F28" s="763">
        <v>218385000</v>
      </c>
      <c r="G28" s="1645">
        <v>53180000</v>
      </c>
      <c r="H28" s="773">
        <v>0.32190309010017859</v>
      </c>
      <c r="I28" s="795" t="s">
        <v>22</v>
      </c>
    </row>
    <row r="29" spans="1:9" s="5" customFormat="1" ht="16.5" customHeight="1">
      <c r="A29" s="1906"/>
      <c r="B29" s="1814"/>
      <c r="C29" s="738" t="s">
        <v>174</v>
      </c>
      <c r="D29" s="744">
        <v>21700000</v>
      </c>
      <c r="E29" s="761">
        <v>15714600</v>
      </c>
      <c r="F29" s="761">
        <v>20000000</v>
      </c>
      <c r="G29" s="1645">
        <v>-1700000</v>
      </c>
      <c r="H29" s="773">
        <v>-7.8341013824884786E-2</v>
      </c>
      <c r="I29" s="782" t="s">
        <v>57</v>
      </c>
    </row>
    <row r="30" spans="1:9" s="5" customFormat="1">
      <c r="A30" s="1907"/>
      <c r="B30" s="1903" t="s">
        <v>71</v>
      </c>
      <c r="C30" s="1904"/>
      <c r="D30" s="752">
        <v>186905000</v>
      </c>
      <c r="E30" s="753">
        <v>172544075</v>
      </c>
      <c r="F30" s="753">
        <v>238385000</v>
      </c>
      <c r="G30" s="1646">
        <v>51480000</v>
      </c>
      <c r="H30" s="775">
        <v>0.27543404403306493</v>
      </c>
      <c r="I30" s="785"/>
    </row>
    <row r="31" spans="1:9" s="5" customFormat="1">
      <c r="A31" s="1905" t="s">
        <v>241</v>
      </c>
      <c r="B31" s="1835" t="s">
        <v>241</v>
      </c>
      <c r="C31" s="735" t="s">
        <v>130</v>
      </c>
      <c r="D31" s="766"/>
      <c r="E31" s="766"/>
      <c r="F31" s="767"/>
      <c r="G31" s="1647"/>
      <c r="H31" s="773"/>
      <c r="I31" s="783"/>
    </row>
    <row r="32" spans="1:9" s="5" customFormat="1">
      <c r="A32" s="1906"/>
      <c r="B32" s="1814"/>
      <c r="C32" s="734" t="s">
        <v>182</v>
      </c>
      <c r="D32" s="768"/>
      <c r="E32" s="768"/>
      <c r="F32" s="768"/>
      <c r="G32" s="1648"/>
      <c r="H32" s="773"/>
      <c r="I32" s="786"/>
    </row>
    <row r="33" spans="1:9" s="5" customFormat="1">
      <c r="A33" s="1907"/>
      <c r="B33" s="737"/>
      <c r="C33" s="737" t="s">
        <v>71</v>
      </c>
      <c r="D33" s="769"/>
      <c r="E33" s="769"/>
      <c r="F33" s="769"/>
      <c r="G33" s="1649"/>
      <c r="H33" s="777"/>
      <c r="I33" s="784"/>
    </row>
    <row r="34" spans="1:9" s="5" customFormat="1" ht="32">
      <c r="A34" s="736"/>
      <c r="B34" s="1835" t="s">
        <v>69</v>
      </c>
      <c r="C34" s="733" t="s">
        <v>203</v>
      </c>
      <c r="D34" s="747">
        <v>6500000</v>
      </c>
      <c r="E34" s="767">
        <v>0</v>
      </c>
      <c r="F34" s="1211">
        <v>10000000</v>
      </c>
      <c r="G34" s="1650">
        <v>3500000</v>
      </c>
      <c r="H34" s="773">
        <v>0.53846153846153844</v>
      </c>
      <c r="I34" s="795" t="s">
        <v>518</v>
      </c>
    </row>
    <row r="35" spans="1:9" s="5" customFormat="1">
      <c r="A35" s="736"/>
      <c r="B35" s="1836"/>
      <c r="C35" s="739" t="s">
        <v>128</v>
      </c>
      <c r="D35" s="748"/>
      <c r="E35" s="767"/>
      <c r="F35" s="765"/>
      <c r="G35" s="1648"/>
      <c r="H35" s="773"/>
      <c r="I35" s="787"/>
    </row>
    <row r="36" spans="1:9" s="5" customFormat="1" ht="16.5" customHeight="1">
      <c r="A36" s="1830" t="s">
        <v>69</v>
      </c>
      <c r="B36" s="1814"/>
      <c r="C36" s="739" t="s">
        <v>247</v>
      </c>
      <c r="D36" s="754"/>
      <c r="E36" s="768"/>
      <c r="F36" s="755"/>
      <c r="G36" s="1648"/>
      <c r="H36" s="773"/>
      <c r="I36" s="786"/>
    </row>
    <row r="37" spans="1:9" s="5" customFormat="1">
      <c r="A37" s="1831"/>
      <c r="B37" s="1903" t="s">
        <v>71</v>
      </c>
      <c r="C37" s="1904"/>
      <c r="D37" s="756">
        <v>6500000</v>
      </c>
      <c r="E37" s="757">
        <v>0</v>
      </c>
      <c r="F37" s="757">
        <v>10000000</v>
      </c>
      <c r="G37" s="1651">
        <v>3500000</v>
      </c>
      <c r="H37" s="775">
        <v>0.53846153846153844</v>
      </c>
      <c r="I37" s="785"/>
    </row>
    <row r="38" spans="1:9" s="5" customFormat="1" ht="32">
      <c r="A38" s="1829" t="s">
        <v>74</v>
      </c>
      <c r="B38" s="1835" t="s">
        <v>74</v>
      </c>
      <c r="C38" s="178" t="s">
        <v>159</v>
      </c>
      <c r="D38" s="744">
        <v>110000000</v>
      </c>
      <c r="E38" s="761">
        <v>108521651</v>
      </c>
      <c r="F38" s="761">
        <v>108521651</v>
      </c>
      <c r="G38" s="1645">
        <v>-1478349</v>
      </c>
      <c r="H38" s="773">
        <v>-1.3439536363636364E-2</v>
      </c>
      <c r="I38" s="796" t="s">
        <v>2</v>
      </c>
    </row>
    <row r="39" spans="1:9" s="5" customFormat="1" ht="32">
      <c r="A39" s="1830"/>
      <c r="B39" s="1814"/>
      <c r="C39" s="739" t="s">
        <v>101</v>
      </c>
      <c r="D39" s="758">
        <v>30000000</v>
      </c>
      <c r="E39" s="770">
        <v>42705723</v>
      </c>
      <c r="F39" s="770">
        <v>42705723</v>
      </c>
      <c r="G39" s="1645">
        <v>12705723</v>
      </c>
      <c r="H39" s="773">
        <v>0.42352410000000001</v>
      </c>
      <c r="I39" s="797" t="s">
        <v>20</v>
      </c>
    </row>
    <row r="40" spans="1:9" s="5" customFormat="1">
      <c r="A40" s="1831"/>
      <c r="B40" s="1932" t="s">
        <v>71</v>
      </c>
      <c r="C40" s="1933"/>
      <c r="D40" s="749">
        <v>140000000</v>
      </c>
      <c r="E40" s="750">
        <v>151227374</v>
      </c>
      <c r="F40" s="750">
        <v>151227374</v>
      </c>
      <c r="G40" s="1652">
        <v>11227374</v>
      </c>
      <c r="H40" s="778">
        <v>8.0195528571428573E-2</v>
      </c>
      <c r="I40" s="784"/>
    </row>
    <row r="41" spans="1:9" s="5" customFormat="1">
      <c r="A41" s="1829" t="s">
        <v>61</v>
      </c>
      <c r="B41" s="1835" t="s">
        <v>61</v>
      </c>
      <c r="C41" s="735" t="s">
        <v>250</v>
      </c>
      <c r="D41" s="759"/>
      <c r="E41" s="766"/>
      <c r="F41" s="771"/>
      <c r="G41" s="1653"/>
      <c r="H41" s="779"/>
      <c r="I41" s="783"/>
    </row>
    <row r="42" spans="1:9" s="5" customFormat="1">
      <c r="A42" s="1830"/>
      <c r="B42" s="1836"/>
      <c r="C42" s="734" t="s">
        <v>118</v>
      </c>
      <c r="D42" s="751">
        <v>512000</v>
      </c>
      <c r="E42" s="763">
        <v>160885</v>
      </c>
      <c r="F42" s="763">
        <v>420626</v>
      </c>
      <c r="G42" s="1645">
        <v>-91374</v>
      </c>
      <c r="H42" s="773">
        <v>-0.17846484374999999</v>
      </c>
      <c r="I42" s="786" t="s">
        <v>289</v>
      </c>
    </row>
    <row r="43" spans="1:9" s="5" customFormat="1">
      <c r="A43" s="1830"/>
      <c r="B43" s="1836"/>
      <c r="C43" s="734" t="s">
        <v>209</v>
      </c>
      <c r="D43" s="748"/>
      <c r="E43" s="765"/>
      <c r="F43" s="765"/>
      <c r="G43" s="1645"/>
      <c r="H43" s="773"/>
      <c r="I43" s="786"/>
    </row>
    <row r="44" spans="1:9" s="5" customFormat="1" ht="32">
      <c r="A44" s="1830"/>
      <c r="B44" s="1814"/>
      <c r="C44" s="734" t="s">
        <v>171</v>
      </c>
      <c r="D44" s="748">
        <v>19000000</v>
      </c>
      <c r="E44" s="765">
        <v>14686078</v>
      </c>
      <c r="F44" s="765">
        <v>31600000</v>
      </c>
      <c r="G44" s="1645">
        <v>12600000</v>
      </c>
      <c r="H44" s="773">
        <v>0.66315789473684206</v>
      </c>
      <c r="I44" s="794" t="s">
        <v>30</v>
      </c>
    </row>
    <row r="45" spans="1:9" s="5" customFormat="1">
      <c r="A45" s="1831"/>
      <c r="B45" s="1903" t="s">
        <v>71</v>
      </c>
      <c r="C45" s="1904"/>
      <c r="D45" s="749">
        <v>19512000</v>
      </c>
      <c r="E45" s="750">
        <v>14846963</v>
      </c>
      <c r="F45" s="750">
        <v>32020626</v>
      </c>
      <c r="G45" s="1652">
        <v>12508626</v>
      </c>
      <c r="H45" s="778">
        <v>0.64107349323493235</v>
      </c>
      <c r="I45" s="784"/>
    </row>
    <row r="46" spans="1:9" s="5" customFormat="1" ht="18" customHeight="1">
      <c r="A46" s="1905" t="s">
        <v>129</v>
      </c>
      <c r="B46" s="1835" t="s">
        <v>53</v>
      </c>
      <c r="C46" s="733" t="s">
        <v>152</v>
      </c>
      <c r="D46" s="767"/>
      <c r="E46" s="767"/>
      <c r="F46" s="767"/>
      <c r="G46" s="1645"/>
      <c r="H46" s="773"/>
      <c r="I46" s="787"/>
    </row>
    <row r="47" spans="1:9" s="5" customFormat="1" ht="18" customHeight="1">
      <c r="A47" s="1906"/>
      <c r="B47" s="1814"/>
      <c r="C47" s="734" t="s">
        <v>139</v>
      </c>
      <c r="D47" s="768"/>
      <c r="E47" s="768"/>
      <c r="F47" s="768"/>
      <c r="G47" s="1645"/>
      <c r="H47" s="773"/>
      <c r="I47" s="786"/>
    </row>
    <row r="48" spans="1:9" s="5" customFormat="1">
      <c r="A48" s="1907"/>
      <c r="B48" s="1903" t="s">
        <v>71</v>
      </c>
      <c r="C48" s="1904"/>
      <c r="D48" s="772"/>
      <c r="E48" s="772"/>
      <c r="F48" s="772"/>
      <c r="G48" s="1650"/>
      <c r="H48" s="773"/>
      <c r="I48" s="788"/>
    </row>
    <row r="49" spans="1:9">
      <c r="A49" s="1935" t="s">
        <v>76</v>
      </c>
      <c r="B49" s="1936"/>
      <c r="C49" s="1937"/>
      <c r="D49" s="760">
        <v>2280000000</v>
      </c>
      <c r="E49" s="760">
        <v>2178215492</v>
      </c>
      <c r="F49" s="760">
        <v>2380000000</v>
      </c>
      <c r="G49" s="1654">
        <v>100000000</v>
      </c>
      <c r="H49" s="780">
        <v>4.3859649122807015E-2</v>
      </c>
      <c r="I49" s="792"/>
    </row>
    <row r="50" spans="1:9" ht="27.65" customHeight="1">
      <c r="A50" s="2089" t="s">
        <v>12</v>
      </c>
      <c r="B50" s="1918"/>
      <c r="C50" s="1918"/>
      <c r="D50" s="1918"/>
      <c r="E50" s="1918"/>
      <c r="F50" s="1918"/>
      <c r="G50" s="1918"/>
      <c r="H50" s="1918"/>
      <c r="I50" s="2090"/>
    </row>
    <row r="51" spans="1:9" ht="17.25" customHeight="1">
      <c r="A51" s="1841" t="s">
        <v>82</v>
      </c>
      <c r="B51" s="1842"/>
      <c r="C51" s="1842"/>
      <c r="D51" s="1799" t="s">
        <v>283</v>
      </c>
      <c r="E51" s="1799" t="s">
        <v>504</v>
      </c>
      <c r="F51" s="1799" t="s">
        <v>39</v>
      </c>
      <c r="G51" s="1799" t="s">
        <v>108</v>
      </c>
      <c r="H51" s="1803" t="s">
        <v>186</v>
      </c>
      <c r="I51" s="1805" t="s">
        <v>146</v>
      </c>
    </row>
    <row r="52" spans="1:9" ht="17.25" customHeight="1">
      <c r="A52" s="92" t="s">
        <v>78</v>
      </c>
      <c r="B52" s="155" t="s">
        <v>88</v>
      </c>
      <c r="C52" s="155" t="s">
        <v>89</v>
      </c>
      <c r="D52" s="1800"/>
      <c r="E52" s="1800"/>
      <c r="F52" s="1800"/>
      <c r="G52" s="1800"/>
      <c r="H52" s="1804"/>
      <c r="I52" s="1806"/>
    </row>
    <row r="53" spans="1:9" s="5" customFormat="1" ht="17.25" customHeight="1">
      <c r="A53" s="183" t="s">
        <v>93</v>
      </c>
      <c r="B53" s="1853" t="s">
        <v>62</v>
      </c>
      <c r="C53" s="556" t="s">
        <v>91</v>
      </c>
      <c r="D53" s="808">
        <v>677607000</v>
      </c>
      <c r="E53" s="809">
        <v>550626300</v>
      </c>
      <c r="F53" s="809">
        <v>673822000</v>
      </c>
      <c r="G53" s="1655">
        <v>-3785000</v>
      </c>
      <c r="H53" s="800">
        <v>-5.5858336764525746E-3</v>
      </c>
      <c r="I53" s="859" t="s">
        <v>55</v>
      </c>
    </row>
    <row r="54" spans="1:9" s="5" customFormat="1" ht="96">
      <c r="A54" s="75"/>
      <c r="B54" s="1815"/>
      <c r="C54" s="179" t="s">
        <v>67</v>
      </c>
      <c r="D54" s="810">
        <v>155637000</v>
      </c>
      <c r="E54" s="811">
        <v>153882390</v>
      </c>
      <c r="F54" s="811">
        <v>183333000</v>
      </c>
      <c r="G54" s="1656">
        <v>27696000</v>
      </c>
      <c r="H54" s="801">
        <v>0.17795254341833883</v>
      </c>
      <c r="I54" s="865" t="s">
        <v>7</v>
      </c>
    </row>
    <row r="55" spans="1:9" s="5" customFormat="1">
      <c r="A55" s="75"/>
      <c r="B55" s="1815"/>
      <c r="C55" s="179" t="s">
        <v>212</v>
      </c>
      <c r="D55" s="810"/>
      <c r="E55" s="811"/>
      <c r="F55" s="811"/>
      <c r="G55" s="1656"/>
      <c r="H55" s="801"/>
      <c r="I55" s="854"/>
    </row>
    <row r="56" spans="1:9" s="5" customFormat="1" ht="52.5" customHeight="1">
      <c r="A56" s="75"/>
      <c r="B56" s="1815"/>
      <c r="C56" s="179" t="s">
        <v>98</v>
      </c>
      <c r="D56" s="810">
        <v>75728000</v>
      </c>
      <c r="E56" s="811">
        <v>64374650</v>
      </c>
      <c r="F56" s="811">
        <v>78491000</v>
      </c>
      <c r="G56" s="1656">
        <v>2763000</v>
      </c>
      <c r="H56" s="801">
        <v>3.6485844073526306E-2</v>
      </c>
      <c r="I56" s="865" t="s">
        <v>33</v>
      </c>
    </row>
    <row r="57" spans="1:9" s="5" customFormat="1" ht="52.5" customHeight="1">
      <c r="A57" s="75"/>
      <c r="B57" s="1815"/>
      <c r="C57" s="179" t="s">
        <v>180</v>
      </c>
      <c r="D57" s="810">
        <v>83991000</v>
      </c>
      <c r="E57" s="811">
        <v>60513740</v>
      </c>
      <c r="F57" s="811">
        <v>85980000</v>
      </c>
      <c r="G57" s="1656">
        <v>1989000</v>
      </c>
      <c r="H57" s="801">
        <v>2.368110869021681E-2</v>
      </c>
      <c r="I57" s="865" t="s">
        <v>32</v>
      </c>
    </row>
    <row r="58" spans="1:9" s="5" customFormat="1" ht="52.5" customHeight="1">
      <c r="A58" s="75"/>
      <c r="B58" s="1815"/>
      <c r="C58" s="179" t="s">
        <v>176</v>
      </c>
      <c r="D58" s="810">
        <v>9980000</v>
      </c>
      <c r="E58" s="811">
        <v>4609390</v>
      </c>
      <c r="F58" s="811">
        <v>13920000</v>
      </c>
      <c r="G58" s="1656">
        <v>3940000</v>
      </c>
      <c r="H58" s="801">
        <v>0.39478957915831664</v>
      </c>
      <c r="I58" s="865" t="s">
        <v>34</v>
      </c>
    </row>
    <row r="59" spans="1:9" s="5" customFormat="1">
      <c r="A59" s="75"/>
      <c r="B59" s="1854"/>
      <c r="C59" s="557" t="s">
        <v>71</v>
      </c>
      <c r="D59" s="812">
        <v>1002943000</v>
      </c>
      <c r="E59" s="813">
        <v>834006470</v>
      </c>
      <c r="F59" s="813">
        <v>1035546000</v>
      </c>
      <c r="G59" s="1657">
        <v>32603000</v>
      </c>
      <c r="H59" s="851">
        <v>3.2507330925087466E-2</v>
      </c>
      <c r="I59" s="856"/>
    </row>
    <row r="60" spans="1:9" s="5" customFormat="1" ht="17.149999999999999" customHeight="1">
      <c r="A60" s="75"/>
      <c r="B60" s="1853" t="s">
        <v>193</v>
      </c>
      <c r="C60" s="178" t="s">
        <v>148</v>
      </c>
      <c r="D60" s="814">
        <v>4800000</v>
      </c>
      <c r="E60" s="809">
        <v>1705820</v>
      </c>
      <c r="F60" s="815">
        <v>3600000</v>
      </c>
      <c r="G60" s="1655">
        <v>-1200000</v>
      </c>
      <c r="H60" s="800">
        <v>-0.25</v>
      </c>
      <c r="I60" s="859" t="s">
        <v>50</v>
      </c>
    </row>
    <row r="61" spans="1:9" s="5" customFormat="1" ht="17.149999999999999" customHeight="1">
      <c r="A61" s="75"/>
      <c r="B61" s="1815"/>
      <c r="C61" s="243" t="s">
        <v>253</v>
      </c>
      <c r="D61" s="810">
        <v>0</v>
      </c>
      <c r="E61" s="811">
        <v>0</v>
      </c>
      <c r="F61" s="811">
        <v>0</v>
      </c>
      <c r="G61" s="1656">
        <v>0</v>
      </c>
      <c r="H61" s="801"/>
      <c r="I61" s="854"/>
    </row>
    <row r="62" spans="1:9" s="5" customFormat="1" ht="80">
      <c r="A62" s="75"/>
      <c r="B62" s="1815"/>
      <c r="C62" s="179" t="s">
        <v>83</v>
      </c>
      <c r="D62" s="810">
        <v>5200000</v>
      </c>
      <c r="E62" s="811">
        <v>2140100</v>
      </c>
      <c r="F62" s="811">
        <v>8000000</v>
      </c>
      <c r="G62" s="1656">
        <v>2800000</v>
      </c>
      <c r="H62" s="801">
        <v>0.53846153846153844</v>
      </c>
      <c r="I62" s="871" t="s">
        <v>15</v>
      </c>
    </row>
    <row r="63" spans="1:9" s="5" customFormat="1">
      <c r="A63" s="75"/>
      <c r="B63" s="1854"/>
      <c r="C63" s="557" t="s">
        <v>71</v>
      </c>
      <c r="D63" s="812">
        <v>10000000</v>
      </c>
      <c r="E63" s="813">
        <v>3845920</v>
      </c>
      <c r="F63" s="813">
        <v>11600000</v>
      </c>
      <c r="G63" s="1657">
        <v>1600000</v>
      </c>
      <c r="H63" s="851">
        <v>0.16</v>
      </c>
      <c r="I63" s="856"/>
    </row>
    <row r="64" spans="1:9" s="5" customFormat="1">
      <c r="A64" s="75"/>
      <c r="B64" s="1853" t="s">
        <v>77</v>
      </c>
      <c r="C64" s="556" t="s">
        <v>60</v>
      </c>
      <c r="D64" s="808">
        <v>360000</v>
      </c>
      <c r="E64" s="816">
        <v>614800</v>
      </c>
      <c r="F64" s="809">
        <v>2600000</v>
      </c>
      <c r="G64" s="1655">
        <v>2240000</v>
      </c>
      <c r="H64" s="800">
        <v>6.2222222222222223</v>
      </c>
      <c r="I64" s="866" t="s">
        <v>280</v>
      </c>
    </row>
    <row r="65" spans="1:9" s="5" customFormat="1" ht="16.5" customHeight="1">
      <c r="A65" s="75"/>
      <c r="B65" s="1815"/>
      <c r="C65" s="179" t="s">
        <v>97</v>
      </c>
      <c r="D65" s="817">
        <v>34352000</v>
      </c>
      <c r="E65" s="818">
        <v>23595953</v>
      </c>
      <c r="F65" s="819">
        <v>36732000</v>
      </c>
      <c r="G65" s="1656">
        <v>2380000</v>
      </c>
      <c r="H65" s="801">
        <v>6.9282720074522589E-2</v>
      </c>
      <c r="I65" s="867" t="s">
        <v>271</v>
      </c>
    </row>
    <row r="66" spans="1:9" s="5" customFormat="1">
      <c r="A66" s="75"/>
      <c r="B66" s="1815"/>
      <c r="C66" s="179" t="s">
        <v>161</v>
      </c>
      <c r="D66" s="817">
        <v>58026000</v>
      </c>
      <c r="E66" s="806">
        <v>39600520</v>
      </c>
      <c r="F66" s="819">
        <v>59196000</v>
      </c>
      <c r="G66" s="1656">
        <v>1170000</v>
      </c>
      <c r="H66" s="801">
        <v>2.0163375038775723E-2</v>
      </c>
      <c r="I66" s="867" t="s">
        <v>269</v>
      </c>
    </row>
    <row r="67" spans="1:9" s="5" customFormat="1" ht="17.149999999999999" customHeight="1">
      <c r="A67" s="75"/>
      <c r="B67" s="1815"/>
      <c r="C67" s="179" t="s">
        <v>168</v>
      </c>
      <c r="D67" s="817">
        <v>14076000</v>
      </c>
      <c r="E67" s="806">
        <v>12055520</v>
      </c>
      <c r="F67" s="819">
        <v>17641000</v>
      </c>
      <c r="G67" s="1656">
        <v>3565000</v>
      </c>
      <c r="H67" s="801">
        <v>0.25326797385620914</v>
      </c>
      <c r="I67" s="867" t="s">
        <v>260</v>
      </c>
    </row>
    <row r="68" spans="1:9" s="5" customFormat="1">
      <c r="A68" s="114"/>
      <c r="B68" s="1815"/>
      <c r="C68" s="179" t="s">
        <v>68</v>
      </c>
      <c r="D68" s="820">
        <v>6900000</v>
      </c>
      <c r="E68" s="818">
        <v>3758500</v>
      </c>
      <c r="F68" s="821">
        <v>8400000</v>
      </c>
      <c r="G68" s="1658">
        <v>1500000</v>
      </c>
      <c r="H68" s="801">
        <v>0.21739130434782608</v>
      </c>
      <c r="I68" s="868" t="s">
        <v>266</v>
      </c>
    </row>
    <row r="69" spans="1:9" s="5" customFormat="1">
      <c r="A69" s="114"/>
      <c r="B69" s="1815"/>
      <c r="C69" s="688" t="s">
        <v>70</v>
      </c>
      <c r="D69" s="805">
        <v>0</v>
      </c>
      <c r="E69" s="806">
        <v>0</v>
      </c>
      <c r="F69" s="806"/>
      <c r="G69" s="1659">
        <v>0</v>
      </c>
      <c r="H69" s="801"/>
      <c r="I69" s="857"/>
    </row>
    <row r="70" spans="1:9" s="5" customFormat="1" ht="17.149999999999999" customHeight="1">
      <c r="A70" s="114"/>
      <c r="B70" s="1815"/>
      <c r="C70" s="688" t="s">
        <v>151</v>
      </c>
      <c r="D70" s="805">
        <v>36600000</v>
      </c>
      <c r="E70" s="806">
        <v>22035938</v>
      </c>
      <c r="F70" s="806">
        <v>49715000</v>
      </c>
      <c r="G70" s="1659">
        <v>13115000</v>
      </c>
      <c r="H70" s="801">
        <v>0.35833333333333334</v>
      </c>
      <c r="I70" s="869" t="s">
        <v>272</v>
      </c>
    </row>
    <row r="71" spans="1:9" s="5" customFormat="1">
      <c r="A71" s="114"/>
      <c r="B71" s="1854"/>
      <c r="C71" s="562" t="s">
        <v>71</v>
      </c>
      <c r="D71" s="822">
        <v>150314000</v>
      </c>
      <c r="E71" s="823">
        <v>101661231</v>
      </c>
      <c r="F71" s="823">
        <v>174284000</v>
      </c>
      <c r="G71" s="1657">
        <v>23970000</v>
      </c>
      <c r="H71" s="851">
        <v>0.15946618412123953</v>
      </c>
      <c r="I71" s="856"/>
    </row>
    <row r="72" spans="1:9" s="5" customFormat="1">
      <c r="A72" s="156" t="s">
        <v>72</v>
      </c>
      <c r="B72" s="2084" t="s">
        <v>71</v>
      </c>
      <c r="C72" s="2085"/>
      <c r="D72" s="824">
        <v>1163257000</v>
      </c>
      <c r="E72" s="803">
        <v>939513621</v>
      </c>
      <c r="F72" s="824">
        <v>1221430000</v>
      </c>
      <c r="G72" s="1657">
        <v>58173000</v>
      </c>
      <c r="H72" s="851">
        <v>5.0008725500899631E-2</v>
      </c>
      <c r="I72" s="856"/>
    </row>
    <row r="73" spans="1:9" s="5" customFormat="1">
      <c r="A73" s="1855" t="s">
        <v>230</v>
      </c>
      <c r="B73" s="1814" t="s">
        <v>90</v>
      </c>
      <c r="C73" s="180" t="s">
        <v>147</v>
      </c>
      <c r="D73" s="825">
        <v>15000000</v>
      </c>
      <c r="E73" s="804">
        <v>6408770</v>
      </c>
      <c r="F73" s="826">
        <v>25000000</v>
      </c>
      <c r="G73" s="1660">
        <v>10000000</v>
      </c>
      <c r="H73" s="801">
        <v>0.66666666666666663</v>
      </c>
      <c r="I73" s="867" t="s">
        <v>263</v>
      </c>
    </row>
    <row r="74" spans="1:9" s="5" customFormat="1">
      <c r="A74" s="1855"/>
      <c r="B74" s="1814"/>
      <c r="C74" s="525" t="s">
        <v>90</v>
      </c>
      <c r="D74" s="827">
        <v>0</v>
      </c>
      <c r="E74" s="798">
        <v>0</v>
      </c>
      <c r="F74" s="828">
        <v>0</v>
      </c>
      <c r="G74" s="1656">
        <v>0</v>
      </c>
      <c r="H74" s="801"/>
      <c r="I74" s="867"/>
    </row>
    <row r="75" spans="1:9" s="5" customFormat="1" ht="16.5" customHeight="1">
      <c r="A75" s="1856"/>
      <c r="B75" s="1815"/>
      <c r="C75" s="175" t="s">
        <v>99</v>
      </c>
      <c r="D75" s="829">
        <v>137619000</v>
      </c>
      <c r="E75" s="806">
        <v>72459750</v>
      </c>
      <c r="F75" s="830">
        <v>134159000</v>
      </c>
      <c r="G75" s="1656">
        <v>-3460000</v>
      </c>
      <c r="H75" s="801">
        <v>-2.514187721172222E-2</v>
      </c>
      <c r="I75" s="867" t="s">
        <v>268</v>
      </c>
    </row>
    <row r="76" spans="1:9" s="5" customFormat="1" ht="16" customHeight="1">
      <c r="A76" s="1857"/>
      <c r="B76" s="2086" t="s">
        <v>71</v>
      </c>
      <c r="C76" s="2087"/>
      <c r="D76" s="831">
        <v>152619000</v>
      </c>
      <c r="E76" s="831">
        <v>78868520</v>
      </c>
      <c r="F76" s="831">
        <v>159159000</v>
      </c>
      <c r="G76" s="1657">
        <v>6540000</v>
      </c>
      <c r="H76" s="802">
        <v>4.2851807442061601E-2</v>
      </c>
      <c r="I76" s="856"/>
    </row>
    <row r="77" spans="1:9" s="5" customFormat="1" ht="16" customHeight="1">
      <c r="A77" s="1829" t="s">
        <v>95</v>
      </c>
      <c r="B77" s="1833" t="s">
        <v>77</v>
      </c>
      <c r="C77" s="249" t="s">
        <v>73</v>
      </c>
      <c r="D77" s="798"/>
      <c r="E77" s="798"/>
      <c r="F77" s="798"/>
      <c r="G77" s="1661"/>
      <c r="H77" s="801"/>
      <c r="I77" s="858"/>
    </row>
    <row r="78" spans="1:9" s="5" customFormat="1" ht="16" customHeight="1">
      <c r="A78" s="1830"/>
      <c r="B78" s="1833"/>
      <c r="C78" s="249" t="s">
        <v>237</v>
      </c>
      <c r="D78" s="798"/>
      <c r="E78" s="798"/>
      <c r="F78" s="798"/>
      <c r="G78" s="1659"/>
      <c r="H78" s="801"/>
      <c r="I78" s="858"/>
    </row>
    <row r="79" spans="1:9" s="5" customFormat="1" ht="16" customHeight="1">
      <c r="A79" s="1830"/>
      <c r="B79" s="1833"/>
      <c r="C79" s="249" t="s">
        <v>87</v>
      </c>
      <c r="D79" s="798"/>
      <c r="E79" s="798"/>
      <c r="F79" s="798"/>
      <c r="G79" s="1659"/>
      <c r="H79" s="801"/>
      <c r="I79" s="858"/>
    </row>
    <row r="80" spans="1:9" s="5" customFormat="1" ht="16" customHeight="1">
      <c r="A80" s="1830"/>
      <c r="B80" s="1833"/>
      <c r="C80" s="250" t="s">
        <v>64</v>
      </c>
      <c r="D80" s="799"/>
      <c r="E80" s="799"/>
      <c r="F80" s="799"/>
      <c r="G80" s="1659"/>
      <c r="H80" s="801"/>
      <c r="I80" s="857"/>
    </row>
    <row r="81" spans="1:9" s="5" customFormat="1" ht="16" customHeight="1">
      <c r="A81" s="1830"/>
      <c r="B81" s="1833"/>
      <c r="C81" s="250" t="s">
        <v>243</v>
      </c>
      <c r="D81" s="799"/>
      <c r="E81" s="799"/>
      <c r="F81" s="799"/>
      <c r="G81" s="1659"/>
      <c r="H81" s="801"/>
      <c r="I81" s="857"/>
    </row>
    <row r="82" spans="1:9" s="5" customFormat="1" ht="16" customHeight="1">
      <c r="A82" s="1830"/>
      <c r="B82" s="2088"/>
      <c r="C82" s="248" t="s">
        <v>71</v>
      </c>
      <c r="D82" s="832"/>
      <c r="E82" s="832"/>
      <c r="F82" s="832"/>
      <c r="G82" s="1662"/>
      <c r="H82" s="846"/>
      <c r="I82" s="857"/>
    </row>
    <row r="83" spans="1:9" s="5" customFormat="1" ht="48" customHeight="1">
      <c r="A83" s="1830"/>
      <c r="B83" s="1836" t="s">
        <v>246</v>
      </c>
      <c r="C83" s="247" t="s">
        <v>201</v>
      </c>
      <c r="D83" s="805">
        <v>22600000</v>
      </c>
      <c r="E83" s="806">
        <v>11087550</v>
      </c>
      <c r="F83" s="806">
        <v>37500000</v>
      </c>
      <c r="G83" s="1659">
        <v>14900000</v>
      </c>
      <c r="H83" s="801">
        <v>0.65929203539823011</v>
      </c>
      <c r="I83" s="864" t="s">
        <v>31</v>
      </c>
    </row>
    <row r="84" spans="1:9" s="5" customFormat="1" ht="166.5" customHeight="1">
      <c r="A84" s="1830"/>
      <c r="B84" s="1836"/>
      <c r="C84" s="247" t="s">
        <v>132</v>
      </c>
      <c r="D84" s="805">
        <v>816850000</v>
      </c>
      <c r="E84" s="806">
        <v>517950565</v>
      </c>
      <c r="F84" s="806">
        <v>818461000</v>
      </c>
      <c r="G84" s="1659">
        <v>1611000</v>
      </c>
      <c r="H84" s="801">
        <v>1.9722103201322153E-3</v>
      </c>
      <c r="I84" s="872" t="s">
        <v>9</v>
      </c>
    </row>
    <row r="85" spans="1:9" s="5" customFormat="1" ht="108.75" customHeight="1">
      <c r="A85" s="1830"/>
      <c r="B85" s="1836"/>
      <c r="C85" s="247" t="s">
        <v>144</v>
      </c>
      <c r="D85" s="805">
        <v>89920000</v>
      </c>
      <c r="E85" s="806">
        <v>58515604</v>
      </c>
      <c r="F85" s="806">
        <v>109950000</v>
      </c>
      <c r="G85" s="1659">
        <v>20030000</v>
      </c>
      <c r="H85" s="801">
        <v>0.22275355871886121</v>
      </c>
      <c r="I85" s="864" t="s">
        <v>5</v>
      </c>
    </row>
    <row r="86" spans="1:9" s="5" customFormat="1" ht="48" customHeight="1">
      <c r="A86" s="1830"/>
      <c r="B86" s="1836"/>
      <c r="C86" s="247" t="s">
        <v>107</v>
      </c>
      <c r="D86" s="799"/>
      <c r="E86" s="799"/>
      <c r="F86" s="799"/>
      <c r="G86" s="1659"/>
      <c r="H86" s="801"/>
      <c r="I86" s="857"/>
    </row>
    <row r="87" spans="1:9" s="5" customFormat="1" ht="22.5" customHeight="1">
      <c r="A87" s="1830"/>
      <c r="B87" s="1836"/>
      <c r="C87" s="247" t="s">
        <v>113</v>
      </c>
      <c r="D87" s="799"/>
      <c r="E87" s="799"/>
      <c r="F87" s="799"/>
      <c r="G87" s="1659"/>
      <c r="H87" s="801"/>
      <c r="I87" s="857"/>
    </row>
    <row r="88" spans="1:9" s="5" customFormat="1" ht="20.25" customHeight="1">
      <c r="A88" s="1830"/>
      <c r="B88" s="1836"/>
      <c r="C88" s="247" t="s">
        <v>109</v>
      </c>
      <c r="D88" s="799"/>
      <c r="E88" s="799"/>
      <c r="F88" s="799"/>
      <c r="G88" s="1659"/>
      <c r="H88" s="801"/>
      <c r="I88" s="857"/>
    </row>
    <row r="89" spans="1:9" s="5" customFormat="1" ht="15" customHeight="1">
      <c r="A89" s="1830"/>
      <c r="B89" s="1836"/>
      <c r="C89" s="247" t="s">
        <v>122</v>
      </c>
      <c r="D89" s="799"/>
      <c r="E89" s="799"/>
      <c r="F89" s="799"/>
      <c r="G89" s="1659"/>
      <c r="H89" s="801"/>
      <c r="I89" s="857"/>
    </row>
    <row r="90" spans="1:9" s="5" customFormat="1" ht="18" customHeight="1">
      <c r="A90" s="1830"/>
      <c r="B90" s="1836"/>
      <c r="C90" s="247" t="s">
        <v>135</v>
      </c>
      <c r="D90" s="799"/>
      <c r="E90" s="799"/>
      <c r="F90" s="799"/>
      <c r="G90" s="1659"/>
      <c r="H90" s="801"/>
      <c r="I90" s="857"/>
    </row>
    <row r="91" spans="1:9" s="5" customFormat="1" ht="19.5" customHeight="1">
      <c r="A91" s="1830"/>
      <c r="B91" s="1836"/>
      <c r="C91" s="247" t="s">
        <v>205</v>
      </c>
      <c r="D91" s="799"/>
      <c r="E91" s="799"/>
      <c r="F91" s="799"/>
      <c r="G91" s="1659"/>
      <c r="H91" s="801"/>
      <c r="I91" s="857"/>
    </row>
    <row r="92" spans="1:9" s="5" customFormat="1">
      <c r="A92" s="1830"/>
      <c r="B92" s="1836"/>
      <c r="C92" s="247" t="s">
        <v>227</v>
      </c>
      <c r="D92" s="799"/>
      <c r="E92" s="799"/>
      <c r="F92" s="799"/>
      <c r="G92" s="1659"/>
      <c r="H92" s="801"/>
      <c r="I92" s="857"/>
    </row>
    <row r="93" spans="1:9" s="5" customFormat="1">
      <c r="A93" s="1830"/>
      <c r="B93" s="1836"/>
      <c r="C93" s="247" t="s">
        <v>240</v>
      </c>
      <c r="D93" s="799"/>
      <c r="E93" s="799"/>
      <c r="F93" s="799"/>
      <c r="G93" s="1659"/>
      <c r="H93" s="801"/>
      <c r="I93" s="857"/>
    </row>
    <row r="94" spans="1:9" s="5" customFormat="1">
      <c r="A94" s="1830"/>
      <c r="B94" s="1836"/>
      <c r="C94" s="247" t="s">
        <v>245</v>
      </c>
      <c r="D94" s="799"/>
      <c r="E94" s="799"/>
      <c r="F94" s="799"/>
      <c r="G94" s="1659"/>
      <c r="H94" s="801"/>
      <c r="I94" s="857"/>
    </row>
    <row r="95" spans="1:9" s="5" customFormat="1">
      <c r="A95" s="1830"/>
      <c r="B95" s="1836"/>
      <c r="C95" s="247" t="s">
        <v>228</v>
      </c>
      <c r="D95" s="799"/>
      <c r="E95" s="799"/>
      <c r="F95" s="799"/>
      <c r="G95" s="1659"/>
      <c r="H95" s="801"/>
      <c r="I95" s="857"/>
    </row>
    <row r="96" spans="1:9" s="5" customFormat="1">
      <c r="A96" s="1830"/>
      <c r="B96" s="1836"/>
      <c r="C96" s="247" t="s">
        <v>125</v>
      </c>
      <c r="D96" s="799"/>
      <c r="E96" s="799"/>
      <c r="F96" s="799"/>
      <c r="G96" s="1659"/>
      <c r="H96" s="801"/>
      <c r="I96" s="857"/>
    </row>
    <row r="97" spans="1:9" s="5" customFormat="1">
      <c r="A97" s="1830"/>
      <c r="B97" s="1836"/>
      <c r="C97" s="247" t="s">
        <v>254</v>
      </c>
      <c r="D97" s="799"/>
      <c r="E97" s="799"/>
      <c r="F97" s="799"/>
      <c r="G97" s="1659"/>
      <c r="H97" s="801"/>
      <c r="I97" s="857"/>
    </row>
    <row r="98" spans="1:9" s="5" customFormat="1">
      <c r="A98" s="1830"/>
      <c r="B98" s="1836"/>
      <c r="C98" s="247" t="s">
        <v>127</v>
      </c>
      <c r="D98" s="799"/>
      <c r="E98" s="799"/>
      <c r="F98" s="799"/>
      <c r="G98" s="1659"/>
      <c r="H98" s="801"/>
      <c r="I98" s="857"/>
    </row>
    <row r="99" spans="1:9" s="5" customFormat="1">
      <c r="A99" s="1830"/>
      <c r="B99" s="1836"/>
      <c r="C99" s="247" t="s">
        <v>140</v>
      </c>
      <c r="D99" s="799"/>
      <c r="E99" s="799"/>
      <c r="F99" s="799"/>
      <c r="G99" s="1659"/>
      <c r="H99" s="801"/>
      <c r="I99" s="857"/>
    </row>
    <row r="100" spans="1:9" s="5" customFormat="1">
      <c r="A100" s="1830"/>
      <c r="B100" s="1836"/>
      <c r="C100" s="247" t="s">
        <v>215</v>
      </c>
      <c r="D100" s="799"/>
      <c r="E100" s="799"/>
      <c r="F100" s="799"/>
      <c r="G100" s="1659"/>
      <c r="H100" s="801"/>
      <c r="I100" s="857"/>
    </row>
    <row r="101" spans="1:9" s="5" customFormat="1">
      <c r="A101" s="1830"/>
      <c r="B101" s="1836"/>
      <c r="C101" s="247" t="s">
        <v>185</v>
      </c>
      <c r="D101" s="799"/>
      <c r="E101" s="799"/>
      <c r="F101" s="799"/>
      <c r="G101" s="1659"/>
      <c r="H101" s="801"/>
      <c r="I101" s="857"/>
    </row>
    <row r="102" spans="1:9" s="5" customFormat="1">
      <c r="A102" s="1830"/>
      <c r="B102" s="1836"/>
      <c r="C102" s="247" t="s">
        <v>134</v>
      </c>
      <c r="D102" s="799"/>
      <c r="E102" s="799"/>
      <c r="F102" s="799"/>
      <c r="G102" s="1659"/>
      <c r="H102" s="801"/>
      <c r="I102" s="857"/>
    </row>
    <row r="103" spans="1:9" s="5" customFormat="1">
      <c r="A103" s="1830"/>
      <c r="B103" s="1836"/>
      <c r="C103" s="247" t="s">
        <v>222</v>
      </c>
      <c r="D103" s="799"/>
      <c r="E103" s="799"/>
      <c r="F103" s="799"/>
      <c r="G103" s="1659"/>
      <c r="H103" s="801"/>
      <c r="I103" s="857"/>
    </row>
    <row r="104" spans="1:9" s="5" customFormat="1">
      <c r="A104" s="1830"/>
      <c r="B104" s="1836"/>
      <c r="C104" s="247" t="s">
        <v>255</v>
      </c>
      <c r="D104" s="799"/>
      <c r="E104" s="799"/>
      <c r="F104" s="799"/>
      <c r="G104" s="1659"/>
      <c r="H104" s="801"/>
      <c r="I104" s="857"/>
    </row>
    <row r="105" spans="1:9" s="5" customFormat="1">
      <c r="A105" s="1830"/>
      <c r="B105" s="1814"/>
      <c r="C105" s="241" t="s">
        <v>71</v>
      </c>
      <c r="D105" s="832">
        <v>929370000</v>
      </c>
      <c r="E105" s="832">
        <v>587553719</v>
      </c>
      <c r="F105" s="832">
        <v>965911000</v>
      </c>
      <c r="G105" s="1662">
        <v>36541000</v>
      </c>
      <c r="H105" s="846">
        <v>3.9318032645770794E-2</v>
      </c>
      <c r="I105" s="857"/>
    </row>
    <row r="106" spans="1:9" s="5" customFormat="1">
      <c r="A106" s="1831"/>
      <c r="B106" s="1914" t="s">
        <v>71</v>
      </c>
      <c r="C106" s="1914"/>
      <c r="D106" s="833">
        <v>929370000</v>
      </c>
      <c r="E106" s="833">
        <v>587553719</v>
      </c>
      <c r="F106" s="833">
        <v>965911000</v>
      </c>
      <c r="G106" s="1657">
        <v>36541000</v>
      </c>
      <c r="H106" s="847">
        <v>3.9318032645770794E-2</v>
      </c>
      <c r="I106" s="855"/>
    </row>
    <row r="107" spans="1:9" s="5" customFormat="1">
      <c r="A107" s="1830" t="s">
        <v>80</v>
      </c>
      <c r="B107" s="188" t="s">
        <v>80</v>
      </c>
      <c r="C107" s="243" t="s">
        <v>80</v>
      </c>
      <c r="D107" s="834">
        <v>5000000</v>
      </c>
      <c r="E107" s="804">
        <v>413700</v>
      </c>
      <c r="F107" s="835">
        <v>1500000</v>
      </c>
      <c r="G107" s="1656">
        <v>-3500000</v>
      </c>
      <c r="H107" s="801">
        <v>-0.7</v>
      </c>
      <c r="I107" s="867" t="s">
        <v>270</v>
      </c>
    </row>
    <row r="108" spans="1:9" s="5" customFormat="1">
      <c r="A108" s="1831"/>
      <c r="B108" s="1932" t="s">
        <v>71</v>
      </c>
      <c r="C108" s="1933"/>
      <c r="D108" s="836">
        <v>5000000</v>
      </c>
      <c r="E108" s="836">
        <v>413700</v>
      </c>
      <c r="F108" s="836">
        <v>1500000</v>
      </c>
      <c r="G108" s="1663">
        <v>-3500000</v>
      </c>
      <c r="H108" s="802">
        <v>-0.7</v>
      </c>
      <c r="I108" s="870"/>
    </row>
    <row r="109" spans="1:9" s="5" customFormat="1" ht="19" customHeight="1">
      <c r="A109" s="1812" t="s">
        <v>131</v>
      </c>
      <c r="B109" s="1814" t="s">
        <v>131</v>
      </c>
      <c r="C109" s="180" t="s">
        <v>79</v>
      </c>
      <c r="D109" s="837">
        <v>10000000</v>
      </c>
      <c r="E109" s="804">
        <v>0</v>
      </c>
      <c r="F109" s="838">
        <v>12000000</v>
      </c>
      <c r="G109" s="1664">
        <v>2000000</v>
      </c>
      <c r="H109" s="801">
        <v>0.2</v>
      </c>
      <c r="I109" s="867" t="s">
        <v>54</v>
      </c>
    </row>
    <row r="110" spans="1:9" s="5" customFormat="1">
      <c r="A110" s="1812"/>
      <c r="B110" s="1815"/>
      <c r="C110" s="175" t="s">
        <v>63</v>
      </c>
      <c r="D110" s="839">
        <v>19754000</v>
      </c>
      <c r="E110" s="806">
        <v>2126120</v>
      </c>
      <c r="F110" s="840">
        <v>20000000</v>
      </c>
      <c r="G110" s="1656">
        <v>246000</v>
      </c>
      <c r="H110" s="801">
        <v>1.2453174040700617E-2</v>
      </c>
      <c r="I110" s="867" t="s">
        <v>41</v>
      </c>
    </row>
    <row r="111" spans="1:9" s="5" customFormat="1" ht="17.149999999999999" customHeight="1">
      <c r="A111" s="2091"/>
      <c r="B111" s="2084" t="s">
        <v>71</v>
      </c>
      <c r="C111" s="2085"/>
      <c r="D111" s="824">
        <v>29754000</v>
      </c>
      <c r="E111" s="824">
        <v>2126120</v>
      </c>
      <c r="F111" s="824">
        <v>32000000</v>
      </c>
      <c r="G111" s="1663">
        <v>2246000</v>
      </c>
      <c r="H111" s="846">
        <v>7.5485648988371318E-2</v>
      </c>
      <c r="I111" s="856"/>
    </row>
    <row r="112" spans="1:9" s="5" customFormat="1" ht="17.149999999999999" customHeight="1">
      <c r="A112" s="1843" t="s">
        <v>129</v>
      </c>
      <c r="B112" s="1846" t="s">
        <v>56</v>
      </c>
      <c r="C112" s="178" t="s">
        <v>152</v>
      </c>
      <c r="D112" s="804"/>
      <c r="E112" s="804"/>
      <c r="F112" s="804"/>
      <c r="G112" s="1655"/>
      <c r="H112" s="848"/>
      <c r="I112" s="860"/>
    </row>
    <row r="113" spans="1:9">
      <c r="A113" s="1844"/>
      <c r="B113" s="1847"/>
      <c r="C113" s="638" t="s">
        <v>139</v>
      </c>
      <c r="D113" s="807"/>
      <c r="E113" s="807"/>
      <c r="F113" s="807"/>
      <c r="G113" s="1656"/>
      <c r="H113" s="849"/>
      <c r="I113" s="861"/>
    </row>
    <row r="114" spans="1:9">
      <c r="A114" s="1845"/>
      <c r="B114" s="2084" t="s">
        <v>71</v>
      </c>
      <c r="C114" s="2085"/>
      <c r="D114" s="841"/>
      <c r="E114" s="841"/>
      <c r="F114" s="841"/>
      <c r="G114" s="1657"/>
      <c r="H114" s="852"/>
      <c r="I114" s="856"/>
    </row>
    <row r="115" spans="1:9">
      <c r="A115" s="1843" t="s">
        <v>288</v>
      </c>
      <c r="B115" s="1846" t="s">
        <v>56</v>
      </c>
      <c r="C115" s="178" t="s">
        <v>142</v>
      </c>
      <c r="D115" s="804"/>
      <c r="E115" s="804"/>
      <c r="F115" s="804"/>
      <c r="G115" s="1655"/>
      <c r="H115" s="848"/>
      <c r="I115" s="860"/>
    </row>
    <row r="116" spans="1:9">
      <c r="A116" s="1844"/>
      <c r="B116" s="1847"/>
      <c r="C116" s="638" t="s">
        <v>277</v>
      </c>
      <c r="D116" s="807"/>
      <c r="E116" s="807"/>
      <c r="F116" s="807"/>
      <c r="G116" s="1656"/>
      <c r="H116" s="849"/>
      <c r="I116" s="861"/>
    </row>
    <row r="117" spans="1:9">
      <c r="A117" s="1845"/>
      <c r="B117" s="2084" t="s">
        <v>71</v>
      </c>
      <c r="C117" s="2085"/>
      <c r="D117" s="841"/>
      <c r="E117" s="841"/>
      <c r="F117" s="841"/>
      <c r="G117" s="1657"/>
      <c r="H117" s="852"/>
      <c r="I117" s="856"/>
    </row>
    <row r="118" spans="1:9" ht="17.5" thickBot="1">
      <c r="A118" s="647" t="s">
        <v>165</v>
      </c>
      <c r="B118" s="648" t="s">
        <v>165</v>
      </c>
      <c r="C118" s="649" t="s">
        <v>160</v>
      </c>
      <c r="D118" s="842"/>
      <c r="E118" s="843">
        <f>E49-(E72+E76+E106+E108+E111)</f>
        <v>569739812</v>
      </c>
      <c r="F118" s="844"/>
      <c r="G118" s="1665"/>
      <c r="H118" s="850"/>
      <c r="I118" s="862"/>
    </row>
    <row r="119" spans="1:9" ht="17.5" thickBot="1">
      <c r="A119" s="2092" t="s">
        <v>76</v>
      </c>
      <c r="B119" s="2093"/>
      <c r="C119" s="2094"/>
      <c r="D119" s="845">
        <v>2280000000</v>
      </c>
      <c r="E119" s="845">
        <f>E72+E76+E106+E108+E111+E118</f>
        <v>2178215492</v>
      </c>
      <c r="F119" s="845">
        <v>2380000000</v>
      </c>
      <c r="G119" s="1666">
        <v>100000000</v>
      </c>
      <c r="H119" s="853">
        <v>4.3859649122807015E-2</v>
      </c>
      <c r="I119" s="863"/>
    </row>
  </sheetData>
  <mergeCells count="69">
    <mergeCell ref="A119:C119"/>
    <mergeCell ref="A112:A114"/>
    <mergeCell ref="B112:B113"/>
    <mergeCell ref="B114:C114"/>
    <mergeCell ref="A115:A117"/>
    <mergeCell ref="B115:B116"/>
    <mergeCell ref="B117:C117"/>
    <mergeCell ref="B109:B110"/>
    <mergeCell ref="B106:C106"/>
    <mergeCell ref="A50:I50"/>
    <mergeCell ref="A51:C51"/>
    <mergeCell ref="D51:D52"/>
    <mergeCell ref="F51:F52"/>
    <mergeCell ref="G51:G52"/>
    <mergeCell ref="I51:I52"/>
    <mergeCell ref="E51:E52"/>
    <mergeCell ref="H51:H52"/>
    <mergeCell ref="A107:A108"/>
    <mergeCell ref="B108:C108"/>
    <mergeCell ref="A109:A111"/>
    <mergeCell ref="B111:C111"/>
    <mergeCell ref="B64:B71"/>
    <mergeCell ref="B14:B21"/>
    <mergeCell ref="B30:C30"/>
    <mergeCell ref="B28:B29"/>
    <mergeCell ref="B83:B105"/>
    <mergeCell ref="A77:A106"/>
    <mergeCell ref="B53:B59"/>
    <mergeCell ref="B40:C40"/>
    <mergeCell ref="B48:C48"/>
    <mergeCell ref="B46:B47"/>
    <mergeCell ref="B72:C72"/>
    <mergeCell ref="A73:A76"/>
    <mergeCell ref="B76:C76"/>
    <mergeCell ref="B73:B75"/>
    <mergeCell ref="B77:B82"/>
    <mergeCell ref="B60:B63"/>
    <mergeCell ref="A1:I1"/>
    <mergeCell ref="H6:H7"/>
    <mergeCell ref="B22:C22"/>
    <mergeCell ref="A23:A27"/>
    <mergeCell ref="B27:C27"/>
    <mergeCell ref="B23:B26"/>
    <mergeCell ref="A2:I2"/>
    <mergeCell ref="A5:I5"/>
    <mergeCell ref="A6:C6"/>
    <mergeCell ref="D6:D7"/>
    <mergeCell ref="F6:F7"/>
    <mergeCell ref="G6:G7"/>
    <mergeCell ref="I6:I7"/>
    <mergeCell ref="E6:E7"/>
    <mergeCell ref="B13:C13"/>
    <mergeCell ref="A8:A13"/>
    <mergeCell ref="A3:I4"/>
    <mergeCell ref="B45:C45"/>
    <mergeCell ref="B34:B36"/>
    <mergeCell ref="A49:C49"/>
    <mergeCell ref="A46:A48"/>
    <mergeCell ref="A38:A40"/>
    <mergeCell ref="B37:C37"/>
    <mergeCell ref="B38:B39"/>
    <mergeCell ref="A36:A37"/>
    <mergeCell ref="A41:A45"/>
    <mergeCell ref="B41:B44"/>
    <mergeCell ref="A31:A33"/>
    <mergeCell ref="A14:A22"/>
    <mergeCell ref="A28:A30"/>
    <mergeCell ref="B8:B12"/>
    <mergeCell ref="B31:B32"/>
  </mergeCells>
  <phoneticPr fontId="25" type="noConversion"/>
  <pageMargins left="0.69972223043441772" right="0.69972223043441772" top="0.75" bottom="0.75" header="0.30000001192092896" footer="0.3000000119209289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  <pageSetUpPr fitToPage="1"/>
  </sheetPr>
  <dimension ref="A2:I121"/>
  <sheetViews>
    <sheetView topLeftCell="A4" zoomScaleNormal="100" zoomScaleSheetLayoutView="75" workbookViewId="0">
      <selection activeCell="I56" sqref="I56"/>
    </sheetView>
  </sheetViews>
  <sheetFormatPr defaultColWidth="8.58203125" defaultRowHeight="17"/>
  <cols>
    <col min="1" max="1" width="13.83203125" style="1" customWidth="1"/>
    <col min="2" max="2" width="14.83203125" style="1" customWidth="1"/>
    <col min="3" max="3" width="21.25" style="1" customWidth="1"/>
    <col min="4" max="4" width="16" style="1" customWidth="1"/>
    <col min="5" max="5" width="15" style="1" customWidth="1"/>
    <col min="6" max="6" width="18" style="1" customWidth="1"/>
    <col min="7" max="7" width="19.33203125" style="1" customWidth="1"/>
    <col min="8" max="8" width="13.5" style="1" customWidth="1"/>
    <col min="9" max="9" width="55.58203125" style="1" customWidth="1"/>
  </cols>
  <sheetData>
    <row r="2" spans="1:9" ht="30.75" customHeight="1">
      <c r="A2" s="2080" t="s">
        <v>274</v>
      </c>
      <c r="B2" s="2115"/>
      <c r="C2" s="2115"/>
      <c r="D2" s="2115"/>
      <c r="E2" s="2115"/>
      <c r="F2" s="2115"/>
      <c r="G2" s="2115"/>
      <c r="H2" s="2115"/>
      <c r="I2" s="2115"/>
    </row>
    <row r="3" spans="1:9">
      <c r="A3" s="2012" t="s">
        <v>35</v>
      </c>
      <c r="B3" s="2012"/>
      <c r="C3" s="2012"/>
      <c r="D3" s="2012"/>
      <c r="E3" s="2012"/>
      <c r="F3" s="2012"/>
      <c r="G3" s="2012"/>
      <c r="H3" s="2012"/>
      <c r="I3" s="2012"/>
    </row>
    <row r="4" spans="1:9">
      <c r="A4" s="2012"/>
      <c r="B4" s="2012"/>
      <c r="C4" s="2012"/>
      <c r="D4" s="2012"/>
      <c r="E4" s="2012"/>
      <c r="F4" s="2012"/>
      <c r="G4" s="2012"/>
      <c r="H4" s="2012"/>
      <c r="I4" s="2012"/>
    </row>
    <row r="5" spans="1:9">
      <c r="A5" s="2081" t="s">
        <v>28</v>
      </c>
      <c r="B5" s="2081"/>
      <c r="C5" s="2081"/>
      <c r="D5" s="2081"/>
      <c r="E5" s="2081"/>
      <c r="F5" s="2081"/>
      <c r="G5" s="2081"/>
      <c r="H5" s="2081"/>
      <c r="I5" s="2081"/>
    </row>
    <row r="6" spans="1:9" ht="17.5" customHeight="1">
      <c r="A6" s="1841" t="s">
        <v>82</v>
      </c>
      <c r="B6" s="1842"/>
      <c r="C6" s="1842"/>
      <c r="D6" s="1799" t="s">
        <v>281</v>
      </c>
      <c r="E6" s="1799" t="s">
        <v>42</v>
      </c>
      <c r="F6" s="1799" t="s">
        <v>48</v>
      </c>
      <c r="G6" s="1799" t="s">
        <v>108</v>
      </c>
      <c r="H6" s="1803" t="s">
        <v>279</v>
      </c>
      <c r="I6" s="1805" t="s">
        <v>146</v>
      </c>
    </row>
    <row r="7" spans="1:9" ht="18" customHeight="1">
      <c r="A7" s="92" t="s">
        <v>78</v>
      </c>
      <c r="B7" s="155" t="s">
        <v>88</v>
      </c>
      <c r="C7" s="155" t="s">
        <v>89</v>
      </c>
      <c r="D7" s="1800"/>
      <c r="E7" s="1800"/>
      <c r="F7" s="1800"/>
      <c r="G7" s="1800"/>
      <c r="H7" s="1804"/>
      <c r="I7" s="1806"/>
    </row>
    <row r="8" spans="1:9" ht="17.5">
      <c r="A8" s="1906" t="s">
        <v>285</v>
      </c>
      <c r="B8" s="1836" t="s">
        <v>136</v>
      </c>
      <c r="C8" s="340" t="s">
        <v>141</v>
      </c>
      <c r="D8" s="260"/>
      <c r="E8" s="260"/>
      <c r="F8" s="260"/>
      <c r="G8" s="606">
        <f>F8-D8</f>
        <v>0</v>
      </c>
      <c r="H8" s="542" t="e">
        <f>G8/D8*100%</f>
        <v>#DIV/0!</v>
      </c>
      <c r="I8" s="307"/>
    </row>
    <row r="9" spans="1:9" ht="17.5">
      <c r="A9" s="1906"/>
      <c r="B9" s="1836"/>
      <c r="C9" s="341" t="s">
        <v>239</v>
      </c>
      <c r="D9" s="251"/>
      <c r="E9" s="251"/>
      <c r="F9" s="251"/>
      <c r="G9" s="260"/>
      <c r="H9" s="255"/>
      <c r="I9" s="308"/>
    </row>
    <row r="10" spans="1:9" ht="17.5">
      <c r="A10" s="1906"/>
      <c r="B10" s="1836"/>
      <c r="C10" s="341" t="s">
        <v>187</v>
      </c>
      <c r="D10" s="251"/>
      <c r="E10" s="251"/>
      <c r="F10" s="251"/>
      <c r="G10" s="260"/>
      <c r="H10" s="255"/>
      <c r="I10" s="308"/>
    </row>
    <row r="11" spans="1:9" ht="17.5">
      <c r="A11" s="1906"/>
      <c r="B11" s="1836"/>
      <c r="C11" s="341" t="s">
        <v>208</v>
      </c>
      <c r="D11" s="251"/>
      <c r="E11" s="251"/>
      <c r="F11" s="251"/>
      <c r="G11" s="260"/>
      <c r="H11" s="255"/>
      <c r="I11" s="308"/>
    </row>
    <row r="12" spans="1:9" ht="17.5">
      <c r="A12" s="1906"/>
      <c r="B12" s="1814"/>
      <c r="C12" s="341" t="s">
        <v>204</v>
      </c>
      <c r="D12" s="251"/>
      <c r="E12" s="251"/>
      <c r="F12" s="251"/>
      <c r="G12" s="260"/>
      <c r="H12" s="255"/>
      <c r="I12" s="308"/>
    </row>
    <row r="13" spans="1:9" ht="17.5">
      <c r="A13" s="1907"/>
      <c r="B13" s="1914" t="s">
        <v>71</v>
      </c>
      <c r="C13" s="1914"/>
      <c r="D13" s="603">
        <f>SUM(D8:D12)</f>
        <v>0</v>
      </c>
      <c r="E13" s="603">
        <f>SUM(E8:E12)</f>
        <v>0</v>
      </c>
      <c r="F13" s="603"/>
      <c r="G13" s="604"/>
      <c r="H13" s="605" t="e">
        <f>G13/D13*100%</f>
        <v>#DIV/0!</v>
      </c>
      <c r="I13" s="309"/>
    </row>
    <row r="14" spans="1:9" ht="17.5">
      <c r="A14" s="1946" t="s">
        <v>164</v>
      </c>
      <c r="B14" s="1836" t="s">
        <v>164</v>
      </c>
      <c r="C14" s="340" t="s">
        <v>106</v>
      </c>
      <c r="D14" s="254"/>
      <c r="E14" s="254"/>
      <c r="F14" s="254"/>
      <c r="G14" s="260"/>
      <c r="H14" s="255"/>
      <c r="I14" s="310"/>
    </row>
    <row r="15" spans="1:9" ht="17.5">
      <c r="A15" s="1946"/>
      <c r="B15" s="1836"/>
      <c r="C15" s="341" t="s">
        <v>111</v>
      </c>
      <c r="D15" s="251"/>
      <c r="E15" s="251"/>
      <c r="F15" s="251"/>
      <c r="G15" s="260"/>
      <c r="H15" s="255"/>
      <c r="I15" s="311"/>
    </row>
    <row r="16" spans="1:9" ht="17.5">
      <c r="A16" s="1946"/>
      <c r="B16" s="1836"/>
      <c r="C16" s="341" t="s">
        <v>117</v>
      </c>
      <c r="D16" s="251"/>
      <c r="E16" s="251"/>
      <c r="F16" s="251"/>
      <c r="G16" s="260"/>
      <c r="H16" s="255"/>
      <c r="I16" s="311"/>
    </row>
    <row r="17" spans="1:9" ht="17.5">
      <c r="A17" s="1946"/>
      <c r="B17" s="1836"/>
      <c r="C17" s="341" t="s">
        <v>112</v>
      </c>
      <c r="D17" s="251"/>
      <c r="E17" s="251"/>
      <c r="F17" s="251"/>
      <c r="G17" s="260"/>
      <c r="H17" s="255"/>
      <c r="I17" s="311"/>
    </row>
    <row r="18" spans="1:9" ht="17.5">
      <c r="A18" s="1946"/>
      <c r="B18" s="1836"/>
      <c r="C18" s="340" t="s">
        <v>190</v>
      </c>
      <c r="D18" s="251"/>
      <c r="E18" s="251"/>
      <c r="F18" s="251"/>
      <c r="G18" s="260"/>
      <c r="H18" s="255"/>
      <c r="I18" s="308"/>
    </row>
    <row r="19" spans="1:9" ht="17.5">
      <c r="A19" s="1946"/>
      <c r="B19" s="1836"/>
      <c r="C19" s="175" t="s">
        <v>214</v>
      </c>
      <c r="D19" s="251"/>
      <c r="E19" s="251"/>
      <c r="F19" s="251"/>
      <c r="G19" s="260"/>
      <c r="H19" s="255"/>
      <c r="I19" s="308"/>
    </row>
    <row r="20" spans="1:9" ht="17.5">
      <c r="A20" s="1946"/>
      <c r="B20" s="1836"/>
      <c r="C20" s="175" t="s">
        <v>183</v>
      </c>
      <c r="D20" s="251"/>
      <c r="E20" s="251"/>
      <c r="F20" s="251"/>
      <c r="G20" s="260"/>
      <c r="H20" s="255"/>
      <c r="I20" s="308"/>
    </row>
    <row r="21" spans="1:9" ht="17.5">
      <c r="A21" s="1946"/>
      <c r="B21" s="1814"/>
      <c r="C21" s="175" t="s">
        <v>195</v>
      </c>
      <c r="D21" s="76"/>
      <c r="E21" s="76"/>
      <c r="F21" s="44"/>
      <c r="G21" s="45"/>
      <c r="H21" s="255"/>
      <c r="I21" s="46"/>
    </row>
    <row r="22" spans="1:9" ht="17.5">
      <c r="A22" s="2074"/>
      <c r="B22" s="1948" t="s">
        <v>71</v>
      </c>
      <c r="C22" s="1949"/>
      <c r="D22" s="49"/>
      <c r="E22" s="49"/>
      <c r="F22" s="49"/>
      <c r="G22" s="153"/>
      <c r="H22" s="601"/>
      <c r="I22" s="50"/>
    </row>
    <row r="23" spans="1:9" ht="17.5">
      <c r="A23" s="1908" t="s">
        <v>197</v>
      </c>
      <c r="B23" s="1835" t="s">
        <v>197</v>
      </c>
      <c r="C23" s="176" t="s">
        <v>211</v>
      </c>
      <c r="D23" s="80"/>
      <c r="E23" s="80"/>
      <c r="F23" s="81"/>
      <c r="G23" s="184"/>
      <c r="H23" s="255"/>
      <c r="I23" s="87"/>
    </row>
    <row r="24" spans="1:9" ht="17.5">
      <c r="A24" s="1909"/>
      <c r="B24" s="1836"/>
      <c r="C24" s="341" t="s">
        <v>166</v>
      </c>
      <c r="D24" s="53"/>
      <c r="E24" s="53"/>
      <c r="F24" s="77"/>
      <c r="G24" s="185"/>
      <c r="H24" s="255"/>
      <c r="I24" s="88"/>
    </row>
    <row r="25" spans="1:9">
      <c r="A25" s="1909"/>
      <c r="B25" s="1836"/>
      <c r="C25" s="341" t="s">
        <v>163</v>
      </c>
      <c r="D25" s="600"/>
      <c r="E25" s="600"/>
      <c r="F25" s="600"/>
      <c r="G25" s="607">
        <f t="shared" ref="G25:G30" si="0">F25-D25</f>
        <v>0</v>
      </c>
      <c r="H25" s="299" t="e">
        <f t="shared" ref="H25:H30" si="1">G25/D25*100%</f>
        <v>#DIV/0!</v>
      </c>
      <c r="I25" s="88"/>
    </row>
    <row r="26" spans="1:9">
      <c r="A26" s="1909"/>
      <c r="B26" s="1814"/>
      <c r="C26" s="341" t="s">
        <v>177</v>
      </c>
      <c r="D26" s="600"/>
      <c r="E26" s="600"/>
      <c r="F26" s="600"/>
      <c r="G26" s="607">
        <f t="shared" si="0"/>
        <v>0</v>
      </c>
      <c r="H26" s="299" t="e">
        <f t="shared" si="1"/>
        <v>#DIV/0!</v>
      </c>
      <c r="I26" s="88"/>
    </row>
    <row r="27" spans="1:9">
      <c r="A27" s="1910"/>
      <c r="B27" s="1903" t="s">
        <v>71</v>
      </c>
      <c r="C27" s="1939"/>
      <c r="D27" s="553">
        <f>SUM(D23:D26)</f>
        <v>0</v>
      </c>
      <c r="E27" s="553">
        <f t="shared" ref="E27:F27" si="2">SUM(E23:E26)</f>
        <v>0</v>
      </c>
      <c r="F27" s="553">
        <f t="shared" si="2"/>
        <v>0</v>
      </c>
      <c r="G27" s="724">
        <f t="shared" si="0"/>
        <v>0</v>
      </c>
      <c r="H27" s="528" t="e">
        <f t="shared" si="1"/>
        <v>#DIV/0!</v>
      </c>
      <c r="I27" s="89"/>
    </row>
    <row r="28" spans="1:9">
      <c r="A28" s="1855" t="s">
        <v>229</v>
      </c>
      <c r="B28" s="1814" t="s">
        <v>229</v>
      </c>
      <c r="C28" s="180" t="s">
        <v>162</v>
      </c>
      <c r="D28" s="608"/>
      <c r="E28" s="608"/>
      <c r="F28" s="608"/>
      <c r="G28" s="44">
        <f t="shared" si="0"/>
        <v>0</v>
      </c>
      <c r="H28" s="303" t="e">
        <f t="shared" si="1"/>
        <v>#DIV/0!</v>
      </c>
      <c r="I28" s="90"/>
    </row>
    <row r="29" spans="1:9">
      <c r="A29" s="1856"/>
      <c r="B29" s="1815"/>
      <c r="C29" s="180" t="s">
        <v>174</v>
      </c>
      <c r="D29" s="609"/>
      <c r="E29" s="609"/>
      <c r="F29" s="620"/>
      <c r="G29" s="44">
        <f t="shared" si="0"/>
        <v>0</v>
      </c>
      <c r="H29" s="299" t="e">
        <f t="shared" si="1"/>
        <v>#DIV/0!</v>
      </c>
      <c r="I29" s="46"/>
    </row>
    <row r="30" spans="1:9">
      <c r="A30" s="1857"/>
      <c r="B30" s="1914" t="s">
        <v>71</v>
      </c>
      <c r="C30" s="1914"/>
      <c r="D30" s="558">
        <f>SUM(D28:D29)</f>
        <v>0</v>
      </c>
      <c r="E30" s="558">
        <f t="shared" ref="E30:F30" si="3">SUM(E28:E29)</f>
        <v>0</v>
      </c>
      <c r="F30" s="725">
        <f t="shared" si="3"/>
        <v>0</v>
      </c>
      <c r="G30" s="611">
        <f t="shared" si="0"/>
        <v>0</v>
      </c>
      <c r="H30" s="726" t="e">
        <f t="shared" si="1"/>
        <v>#DIV/0!</v>
      </c>
      <c r="I30" s="51"/>
    </row>
    <row r="31" spans="1:9" ht="17.5">
      <c r="A31" s="1905" t="s">
        <v>241</v>
      </c>
      <c r="B31" s="1835" t="s">
        <v>241</v>
      </c>
      <c r="C31" s="176" t="s">
        <v>130</v>
      </c>
      <c r="D31" s="81"/>
      <c r="E31" s="81"/>
      <c r="F31" s="79"/>
      <c r="G31" s="79"/>
      <c r="H31" s="255"/>
      <c r="I31" s="87"/>
    </row>
    <row r="32" spans="1:9" ht="17.5">
      <c r="A32" s="1906"/>
      <c r="B32" s="1814"/>
      <c r="C32" s="341" t="s">
        <v>182</v>
      </c>
      <c r="D32" s="77"/>
      <c r="E32" s="77"/>
      <c r="F32" s="77"/>
      <c r="G32" s="77"/>
      <c r="H32" s="255"/>
      <c r="I32" s="91"/>
    </row>
    <row r="33" spans="1:9" ht="17.5">
      <c r="A33" s="1907"/>
      <c r="B33" s="342"/>
      <c r="C33" s="342" t="s">
        <v>71</v>
      </c>
      <c r="D33" s="82"/>
      <c r="E33" s="82"/>
      <c r="F33" s="82"/>
      <c r="G33" s="49"/>
      <c r="H33" s="602"/>
      <c r="I33" s="89"/>
    </row>
    <row r="34" spans="1:9" ht="17.5">
      <c r="A34" s="345"/>
      <c r="B34" s="1836" t="s">
        <v>69</v>
      </c>
      <c r="C34" s="340" t="s">
        <v>203</v>
      </c>
      <c r="D34" s="79"/>
      <c r="E34" s="79"/>
      <c r="F34" s="79"/>
      <c r="G34" s="473"/>
      <c r="H34" s="255"/>
      <c r="I34" s="257"/>
    </row>
    <row r="35" spans="1:9" ht="17.5">
      <c r="A35" s="637"/>
      <c r="B35" s="1836"/>
      <c r="C35" s="638" t="s">
        <v>128</v>
      </c>
      <c r="D35" s="79"/>
      <c r="E35" s="79"/>
      <c r="F35" s="79"/>
      <c r="G35" s="484"/>
      <c r="H35" s="255"/>
      <c r="I35" s="257"/>
    </row>
    <row r="36" spans="1:9" ht="17.5">
      <c r="A36" s="1830" t="s">
        <v>69</v>
      </c>
      <c r="B36" s="1814"/>
      <c r="C36" s="175" t="s">
        <v>247</v>
      </c>
      <c r="D36" s="77"/>
      <c r="E36" s="77"/>
      <c r="F36" s="53"/>
      <c r="G36" s="79"/>
      <c r="H36" s="255"/>
      <c r="I36" s="91"/>
    </row>
    <row r="37" spans="1:9" ht="17.5">
      <c r="A37" s="1831"/>
      <c r="B37" s="1941" t="s">
        <v>71</v>
      </c>
      <c r="C37" s="1942"/>
      <c r="D37" s="258"/>
      <c r="E37" s="258"/>
      <c r="F37" s="258"/>
      <c r="G37" s="182"/>
      <c r="H37" s="601"/>
      <c r="I37" s="51"/>
    </row>
    <row r="38" spans="1:9">
      <c r="A38" s="1829" t="s">
        <v>74</v>
      </c>
      <c r="B38" s="1835" t="s">
        <v>74</v>
      </c>
      <c r="C38" s="178" t="s">
        <v>159</v>
      </c>
      <c r="D38" s="612"/>
      <c r="E38" s="612"/>
      <c r="F38" s="619"/>
      <c r="G38" s="44">
        <f>F38-D38</f>
        <v>0</v>
      </c>
      <c r="H38" s="303" t="e">
        <f t="shared" ref="H38:H40" si="4">G38/D38*100%</f>
        <v>#DIV/0!</v>
      </c>
      <c r="I38" s="83"/>
    </row>
    <row r="39" spans="1:9">
      <c r="A39" s="1830"/>
      <c r="B39" s="1814"/>
      <c r="C39" s="599" t="s">
        <v>101</v>
      </c>
      <c r="D39" s="613"/>
      <c r="E39" s="613"/>
      <c r="F39" s="623"/>
      <c r="G39" s="44">
        <f>F39-D39</f>
        <v>0</v>
      </c>
      <c r="H39" s="299" t="e">
        <f t="shared" si="4"/>
        <v>#DIV/0!</v>
      </c>
      <c r="I39" s="256"/>
    </row>
    <row r="40" spans="1:9">
      <c r="A40" s="1831"/>
      <c r="B40" s="1932" t="s">
        <v>71</v>
      </c>
      <c r="C40" s="1933"/>
      <c r="D40" s="553">
        <f>SUM(D38:D39)</f>
        <v>0</v>
      </c>
      <c r="E40" s="553">
        <f t="shared" ref="E40:F40" si="5">SUM(E38:E39)</f>
        <v>0</v>
      </c>
      <c r="F40" s="719">
        <f t="shared" si="5"/>
        <v>0</v>
      </c>
      <c r="G40" s="614">
        <f>F40-D40</f>
        <v>0</v>
      </c>
      <c r="H40" s="432" t="e">
        <f t="shared" si="4"/>
        <v>#DIV/0!</v>
      </c>
      <c r="I40" s="312"/>
    </row>
    <row r="41" spans="1:9" ht="17.5">
      <c r="A41" s="2111" t="s">
        <v>61</v>
      </c>
      <c r="B41" s="1853" t="s">
        <v>61</v>
      </c>
      <c r="C41" s="635" t="s">
        <v>250</v>
      </c>
      <c r="D41" s="81"/>
      <c r="E41" s="81"/>
      <c r="F41" s="80"/>
      <c r="G41" s="181"/>
      <c r="H41" s="615"/>
      <c r="I41" s="87"/>
    </row>
    <row r="42" spans="1:9" ht="17.5">
      <c r="A42" s="2112"/>
      <c r="B42" s="1814"/>
      <c r="C42" s="636" t="s">
        <v>118</v>
      </c>
      <c r="D42" s="79"/>
      <c r="E42" s="79"/>
      <c r="F42" s="244"/>
      <c r="G42" s="45"/>
      <c r="H42" s="255"/>
      <c r="I42" s="257"/>
    </row>
    <row r="43" spans="1:9" ht="17.5">
      <c r="A43" s="2113"/>
      <c r="B43" s="1815"/>
      <c r="C43" s="596" t="s">
        <v>209</v>
      </c>
      <c r="D43" s="77"/>
      <c r="E43" s="77"/>
      <c r="F43" s="53"/>
      <c r="G43" s="45"/>
      <c r="H43" s="255"/>
      <c r="I43" s="91"/>
    </row>
    <row r="44" spans="1:9">
      <c r="A44" s="2113"/>
      <c r="B44" s="1815"/>
      <c r="C44" s="596" t="s">
        <v>171</v>
      </c>
      <c r="D44" s="600"/>
      <c r="E44" s="600"/>
      <c r="F44" s="600"/>
      <c r="G44" s="44">
        <f>F44-D44</f>
        <v>0</v>
      </c>
      <c r="H44" s="299" t="e">
        <f t="shared" ref="H44:H45" si="6">G44/D44*100%</f>
        <v>#DIV/0!</v>
      </c>
      <c r="I44" s="91"/>
    </row>
    <row r="45" spans="1:9">
      <c r="A45" s="2114"/>
      <c r="B45" s="1914" t="s">
        <v>71</v>
      </c>
      <c r="C45" s="1914"/>
      <c r="D45" s="616">
        <f>SUM(D41:D44)</f>
        <v>0</v>
      </c>
      <c r="E45" s="616">
        <f>SUM(E41:E44)</f>
        <v>0</v>
      </c>
      <c r="F45" s="616">
        <f>SUM(F41:F44)</f>
        <v>0</v>
      </c>
      <c r="G45" s="617">
        <f>F45-D45</f>
        <v>0</v>
      </c>
      <c r="H45" s="727" t="e">
        <f t="shared" si="6"/>
        <v>#DIV/0!</v>
      </c>
      <c r="I45" s="89"/>
    </row>
    <row r="46" spans="1:9" ht="17.5">
      <c r="A46" s="1855" t="s">
        <v>129</v>
      </c>
      <c r="B46" s="1814" t="s">
        <v>53</v>
      </c>
      <c r="C46" s="595" t="s">
        <v>152</v>
      </c>
      <c r="D46" s="79"/>
      <c r="E46" s="79"/>
      <c r="F46" s="244"/>
      <c r="G46" s="45"/>
      <c r="H46" s="255"/>
      <c r="I46" s="257"/>
    </row>
    <row r="47" spans="1:9" ht="17.5">
      <c r="A47" s="1856"/>
      <c r="B47" s="1815"/>
      <c r="C47" s="341" t="s">
        <v>139</v>
      </c>
      <c r="D47" s="77"/>
      <c r="E47" s="77"/>
      <c r="F47" s="53"/>
      <c r="G47" s="45"/>
      <c r="H47" s="255"/>
      <c r="I47" s="91"/>
    </row>
    <row r="48" spans="1:9" ht="17.5">
      <c r="A48" s="2110"/>
      <c r="B48" s="1934" t="s">
        <v>71</v>
      </c>
      <c r="C48" s="1934"/>
      <c r="D48" s="152"/>
      <c r="E48" s="152"/>
      <c r="F48" s="152"/>
      <c r="G48" s="153"/>
      <c r="H48" s="255"/>
      <c r="I48" s="154"/>
    </row>
    <row r="49" spans="1:9">
      <c r="A49" s="1935" t="s">
        <v>76</v>
      </c>
      <c r="B49" s="1936"/>
      <c r="C49" s="1937"/>
      <c r="D49" s="314">
        <f>SUM(D13,D22,D27,D30,D37,D40,D45,D48)</f>
        <v>0</v>
      </c>
      <c r="E49" s="314">
        <f>SUM(E13,E22,E27,E30,E37,E40,E45,E48)</f>
        <v>0</v>
      </c>
      <c r="F49" s="314">
        <f>SUM(F13,F22,F27,F30,F37,F40,F45,F48)</f>
        <v>0</v>
      </c>
      <c r="G49" s="618">
        <f>SUM(G13,G22,G27,G30,G37,G40,G45,G48)</f>
        <v>0</v>
      </c>
      <c r="H49" s="555" t="e">
        <f>G49/D49*100%</f>
        <v>#DIV/0!</v>
      </c>
      <c r="I49" s="86"/>
    </row>
    <row r="50" spans="1:9">
      <c r="A50" s="2089" t="s">
        <v>29</v>
      </c>
      <c r="B50" s="1918"/>
      <c r="C50" s="1918"/>
      <c r="D50" s="1918"/>
      <c r="E50" s="1918"/>
      <c r="F50" s="1918"/>
      <c r="G50" s="1918"/>
      <c r="H50" s="1918"/>
      <c r="I50" s="2090"/>
    </row>
    <row r="51" spans="1:9" ht="17.5" customHeight="1">
      <c r="A51" s="1841" t="s">
        <v>82</v>
      </c>
      <c r="B51" s="1842"/>
      <c r="C51" s="1842"/>
      <c r="D51" s="1799" t="s">
        <v>281</v>
      </c>
      <c r="E51" s="1799" t="s">
        <v>42</v>
      </c>
      <c r="F51" s="1799" t="s">
        <v>58</v>
      </c>
      <c r="G51" s="1799" t="s">
        <v>108</v>
      </c>
      <c r="H51" s="1803" t="s">
        <v>186</v>
      </c>
      <c r="I51" s="1805" t="s">
        <v>146</v>
      </c>
    </row>
    <row r="52" spans="1:9" ht="18" customHeight="1">
      <c r="A52" s="92" t="s">
        <v>78</v>
      </c>
      <c r="B52" s="155" t="s">
        <v>88</v>
      </c>
      <c r="C52" s="155" t="s">
        <v>89</v>
      </c>
      <c r="D52" s="1800"/>
      <c r="E52" s="1800"/>
      <c r="F52" s="1800"/>
      <c r="G52" s="1800"/>
      <c r="H52" s="1804"/>
      <c r="I52" s="1806"/>
    </row>
    <row r="53" spans="1:9">
      <c r="A53" s="386" t="s">
        <v>93</v>
      </c>
      <c r="B53" s="1853" t="s">
        <v>62</v>
      </c>
      <c r="C53" s="556" t="s">
        <v>91</v>
      </c>
      <c r="D53" s="619"/>
      <c r="E53" s="619"/>
      <c r="F53" s="619"/>
      <c r="G53" s="52">
        <f>E53-D53</f>
        <v>0</v>
      </c>
      <c r="H53" s="476" t="e">
        <f>G53/D53*100%</f>
        <v>#DIV/0!</v>
      </c>
      <c r="I53" s="622"/>
    </row>
    <row r="54" spans="1:9">
      <c r="A54" s="387"/>
      <c r="B54" s="1815"/>
      <c r="C54" s="179" t="s">
        <v>67</v>
      </c>
      <c r="D54" s="620"/>
      <c r="E54" s="620"/>
      <c r="F54" s="620"/>
      <c r="G54" s="44"/>
      <c r="H54" s="151"/>
      <c r="I54" s="46"/>
    </row>
    <row r="55" spans="1:9">
      <c r="A55" s="387"/>
      <c r="B55" s="1815"/>
      <c r="C55" s="179" t="s">
        <v>212</v>
      </c>
      <c r="D55" s="620"/>
      <c r="E55" s="620"/>
      <c r="F55" s="620"/>
      <c r="G55" s="44"/>
      <c r="H55" s="151"/>
      <c r="I55" s="46"/>
    </row>
    <row r="56" spans="1:9">
      <c r="A56" s="387"/>
      <c r="B56" s="1815"/>
      <c r="C56" s="179" t="s">
        <v>98</v>
      </c>
      <c r="D56" s="620"/>
      <c r="E56" s="620"/>
      <c r="F56" s="620"/>
      <c r="G56" s="44">
        <f t="shared" ref="G56:G59" si="7">E56-D56</f>
        <v>0</v>
      </c>
      <c r="H56" s="151" t="e">
        <f>G56/D56*100%</f>
        <v>#DIV/0!</v>
      </c>
      <c r="I56" s="46"/>
    </row>
    <row r="57" spans="1:9">
      <c r="A57" s="387"/>
      <c r="B57" s="1815"/>
      <c r="C57" s="179" t="s">
        <v>180</v>
      </c>
      <c r="D57" s="620"/>
      <c r="E57" s="620"/>
      <c r="F57" s="620"/>
      <c r="G57" s="44">
        <f t="shared" si="7"/>
        <v>0</v>
      </c>
      <c r="H57" s="151" t="e">
        <f t="shared" ref="H57:H58" si="8">G57/D57*100%</f>
        <v>#DIV/0!</v>
      </c>
      <c r="I57" s="46"/>
    </row>
    <row r="58" spans="1:9">
      <c r="A58" s="387"/>
      <c r="B58" s="1815"/>
      <c r="C58" s="179" t="s">
        <v>176</v>
      </c>
      <c r="D58" s="620"/>
      <c r="E58" s="620"/>
      <c r="F58" s="620"/>
      <c r="G58" s="44">
        <f t="shared" si="7"/>
        <v>0</v>
      </c>
      <c r="H58" s="151" t="e">
        <f t="shared" si="8"/>
        <v>#DIV/0!</v>
      </c>
      <c r="I58" s="46"/>
    </row>
    <row r="59" spans="1:9">
      <c r="A59" s="387"/>
      <c r="B59" s="1854"/>
      <c r="C59" s="557" t="s">
        <v>96</v>
      </c>
      <c r="D59" s="558">
        <f>SUM(D53:D58)</f>
        <v>0</v>
      </c>
      <c r="E59" s="558">
        <f>SUM(E53:E58)</f>
        <v>0</v>
      </c>
      <c r="F59" s="558">
        <f>SUM(F53:F58)</f>
        <v>0</v>
      </c>
      <c r="G59" s="614">
        <f t="shared" si="7"/>
        <v>0</v>
      </c>
      <c r="H59" s="559" t="e">
        <f>G59/D59*100%</f>
        <v>#DIV/0!</v>
      </c>
      <c r="I59" s="50"/>
    </row>
    <row r="60" spans="1:9">
      <c r="A60" s="387"/>
      <c r="B60" s="1853" t="s">
        <v>193</v>
      </c>
      <c r="C60" s="178" t="s">
        <v>148</v>
      </c>
      <c r="D60" s="560"/>
      <c r="E60" s="52"/>
      <c r="F60" s="52"/>
      <c r="G60" s="181"/>
      <c r="H60" s="476"/>
      <c r="I60" s="561"/>
    </row>
    <row r="61" spans="1:9">
      <c r="A61" s="387"/>
      <c r="B61" s="1815"/>
      <c r="C61" s="243" t="s">
        <v>253</v>
      </c>
      <c r="D61" s="44"/>
      <c r="E61" s="44"/>
      <c r="F61" s="44"/>
      <c r="G61" s="45"/>
      <c r="H61" s="151"/>
      <c r="I61" s="46"/>
    </row>
    <row r="62" spans="1:9">
      <c r="A62" s="387"/>
      <c r="B62" s="1815"/>
      <c r="C62" s="179" t="s">
        <v>83</v>
      </c>
      <c r="D62" s="44"/>
      <c r="E62" s="44"/>
      <c r="F62" s="44"/>
      <c r="G62" s="45"/>
      <c r="H62" s="151"/>
      <c r="I62" s="46"/>
    </row>
    <row r="63" spans="1:9">
      <c r="A63" s="387"/>
      <c r="B63" s="1854"/>
      <c r="C63" s="557" t="s">
        <v>96</v>
      </c>
      <c r="D63" s="78"/>
      <c r="E63" s="78"/>
      <c r="F63" s="78"/>
      <c r="G63" s="49"/>
      <c r="H63" s="253"/>
      <c r="I63" s="50"/>
    </row>
    <row r="64" spans="1:9">
      <c r="A64" s="387"/>
      <c r="B64" s="1814" t="s">
        <v>77</v>
      </c>
      <c r="C64" s="243" t="s">
        <v>60</v>
      </c>
      <c r="D64" s="620"/>
      <c r="E64" s="623"/>
      <c r="F64" s="44"/>
      <c r="G64" s="45"/>
      <c r="H64" s="151"/>
      <c r="I64" s="46"/>
    </row>
    <row r="65" spans="1:9">
      <c r="A65" s="387"/>
      <c r="B65" s="1815"/>
      <c r="C65" s="179" t="s">
        <v>97</v>
      </c>
      <c r="D65" s="624"/>
      <c r="E65" s="625"/>
      <c r="F65" s="625"/>
      <c r="G65" s="44">
        <f>F65-D65</f>
        <v>0</v>
      </c>
      <c r="H65" s="151" t="e">
        <f>G65/D65*100%</f>
        <v>#DIV/0!</v>
      </c>
      <c r="I65" s="46"/>
    </row>
    <row r="66" spans="1:9">
      <c r="A66" s="387"/>
      <c r="B66" s="1815"/>
      <c r="C66" s="179" t="s">
        <v>161</v>
      </c>
      <c r="D66" s="624"/>
      <c r="E66" s="600"/>
      <c r="F66" s="600"/>
      <c r="G66" s="44">
        <f t="shared" ref="G66:G71" si="9">F66-D66</f>
        <v>0</v>
      </c>
      <c r="H66" s="151" t="e">
        <f t="shared" ref="H66:H71" si="10">G66/D66*100%</f>
        <v>#DIV/0!</v>
      </c>
      <c r="I66" s="46"/>
    </row>
    <row r="67" spans="1:9">
      <c r="A67" s="387"/>
      <c r="B67" s="1815"/>
      <c r="C67" s="179" t="s">
        <v>168</v>
      </c>
      <c r="D67" s="624"/>
      <c r="E67" s="600"/>
      <c r="F67" s="600"/>
      <c r="G67" s="44">
        <f t="shared" si="9"/>
        <v>0</v>
      </c>
      <c r="H67" s="151" t="e">
        <f t="shared" si="10"/>
        <v>#DIV/0!</v>
      </c>
      <c r="I67" s="46"/>
    </row>
    <row r="68" spans="1:9">
      <c r="A68" s="388"/>
      <c r="B68" s="1815"/>
      <c r="C68" s="179" t="s">
        <v>68</v>
      </c>
      <c r="D68" s="626"/>
      <c r="E68" s="625"/>
      <c r="F68" s="625"/>
      <c r="G68" s="44">
        <f t="shared" si="9"/>
        <v>0</v>
      </c>
      <c r="H68" s="151" t="e">
        <f t="shared" si="10"/>
        <v>#DIV/0!</v>
      </c>
      <c r="I68" s="84"/>
    </row>
    <row r="69" spans="1:9">
      <c r="A69" s="388"/>
      <c r="B69" s="1815"/>
      <c r="C69" s="175" t="s">
        <v>70</v>
      </c>
      <c r="D69" s="600"/>
      <c r="E69" s="600"/>
      <c r="F69" s="600"/>
      <c r="G69" s="44">
        <f t="shared" si="9"/>
        <v>0</v>
      </c>
      <c r="H69" s="151"/>
      <c r="I69" s="91"/>
    </row>
    <row r="70" spans="1:9">
      <c r="A70" s="388"/>
      <c r="B70" s="1815"/>
      <c r="C70" s="175" t="s">
        <v>151</v>
      </c>
      <c r="D70" s="600"/>
      <c r="E70" s="600"/>
      <c r="F70" s="600"/>
      <c r="G70" s="44">
        <f t="shared" si="9"/>
        <v>0</v>
      </c>
      <c r="H70" s="151" t="e">
        <f t="shared" si="10"/>
        <v>#DIV/0!</v>
      </c>
      <c r="I70" s="91"/>
    </row>
    <row r="71" spans="1:9">
      <c r="A71" s="388"/>
      <c r="B71" s="1815"/>
      <c r="C71" s="259" t="s">
        <v>96</v>
      </c>
      <c r="D71" s="313"/>
      <c r="E71" s="313"/>
      <c r="F71" s="313"/>
      <c r="G71" s="44">
        <f t="shared" si="9"/>
        <v>0</v>
      </c>
      <c r="H71" s="151" t="e">
        <f t="shared" si="10"/>
        <v>#DIV/0!</v>
      </c>
      <c r="I71" s="46"/>
    </row>
    <row r="72" spans="1:9">
      <c r="A72" s="389" t="s">
        <v>72</v>
      </c>
      <c r="B72" s="2095" t="s">
        <v>71</v>
      </c>
      <c r="C72" s="2096"/>
      <c r="D72" s="578">
        <f>SUM(D59,D63,D71)</f>
        <v>0</v>
      </c>
      <c r="E72" s="627">
        <f>SUM(E59,E63,E71)</f>
        <v>0</v>
      </c>
      <c r="F72" s="627">
        <f>SUM(F59,F63,F71)</f>
        <v>0</v>
      </c>
      <c r="G72" s="614">
        <f>F72-D72</f>
        <v>0</v>
      </c>
      <c r="H72" s="559" t="e">
        <f>G72/D72*100%</f>
        <v>#DIV/0!</v>
      </c>
      <c r="I72" s="50"/>
    </row>
    <row r="73" spans="1:9">
      <c r="A73" s="2097" t="s">
        <v>230</v>
      </c>
      <c r="B73" s="1853" t="s">
        <v>90</v>
      </c>
      <c r="C73" s="178" t="s">
        <v>147</v>
      </c>
      <c r="D73" s="574"/>
      <c r="E73" s="80"/>
      <c r="F73" s="80"/>
      <c r="G73" s="628">
        <f t="shared" ref="G73:G106" si="11">F73-D73</f>
        <v>0</v>
      </c>
      <c r="H73" s="476" t="e">
        <f>G73/D73*100%</f>
        <v>#DIV/0!</v>
      </c>
      <c r="I73" s="561"/>
    </row>
    <row r="74" spans="1:9">
      <c r="A74" s="2098"/>
      <c r="B74" s="1814"/>
      <c r="C74" s="598" t="s">
        <v>90</v>
      </c>
      <c r="D74" s="563"/>
      <c r="E74" s="246"/>
      <c r="F74" s="246"/>
      <c r="G74" s="45"/>
      <c r="H74" s="151"/>
      <c r="I74" s="46"/>
    </row>
    <row r="75" spans="1:9">
      <c r="A75" s="2099"/>
      <c r="B75" s="1815"/>
      <c r="C75" s="599" t="s">
        <v>99</v>
      </c>
      <c r="D75" s="237"/>
      <c r="E75" s="53"/>
      <c r="F75" s="53"/>
      <c r="G75" s="45"/>
      <c r="H75" s="151"/>
      <c r="I75" s="46"/>
    </row>
    <row r="76" spans="1:9">
      <c r="A76" s="2100"/>
      <c r="B76" s="2086" t="s">
        <v>71</v>
      </c>
      <c r="C76" s="2087"/>
      <c r="D76" s="576">
        <f>SUM(D73:D75)</f>
        <v>0</v>
      </c>
      <c r="E76" s="576">
        <f>SUM(E73:E75)</f>
        <v>0</v>
      </c>
      <c r="F76" s="576">
        <f>SUM(F73:F75)</f>
        <v>0</v>
      </c>
      <c r="G76" s="614">
        <f t="shared" si="11"/>
        <v>0</v>
      </c>
      <c r="H76" s="559" t="e">
        <f>G76/D76*100%</f>
        <v>#DIV/0!</v>
      </c>
      <c r="I76" s="51"/>
    </row>
    <row r="77" spans="1:9">
      <c r="A77" s="2107" t="s">
        <v>95</v>
      </c>
      <c r="B77" s="1832" t="s">
        <v>77</v>
      </c>
      <c r="C77" s="583" t="s">
        <v>73</v>
      </c>
      <c r="D77" s="608"/>
      <c r="E77" s="608"/>
      <c r="F77" s="608"/>
      <c r="G77" s="80">
        <f>F77-D77</f>
        <v>0</v>
      </c>
      <c r="H77" s="640" t="e">
        <f>G77/D77*100%</f>
        <v>#DIV/0!</v>
      </c>
      <c r="I77" s="87"/>
    </row>
    <row r="78" spans="1:9">
      <c r="A78" s="2108"/>
      <c r="B78" s="1833"/>
      <c r="C78" s="597" t="s">
        <v>237</v>
      </c>
      <c r="D78" s="629"/>
      <c r="E78" s="629"/>
      <c r="F78" s="629"/>
      <c r="G78" s="244">
        <f>F78-D78</f>
        <v>0</v>
      </c>
      <c r="H78" s="242" t="e">
        <f t="shared" ref="H78:H82" si="12">G78/D78*100%</f>
        <v>#DIV/0!</v>
      </c>
      <c r="I78" s="257"/>
    </row>
    <row r="79" spans="1:9">
      <c r="A79" s="2108"/>
      <c r="B79" s="1833"/>
      <c r="C79" s="597" t="s">
        <v>87</v>
      </c>
      <c r="D79" s="629"/>
      <c r="E79" s="629"/>
      <c r="F79" s="629"/>
      <c r="G79" s="244"/>
      <c r="H79" s="242"/>
      <c r="I79" s="257"/>
    </row>
    <row r="80" spans="1:9">
      <c r="A80" s="2108"/>
      <c r="B80" s="1833"/>
      <c r="C80" s="250" t="s">
        <v>64</v>
      </c>
      <c r="D80" s="600"/>
      <c r="E80" s="600"/>
      <c r="F80" s="600"/>
      <c r="G80" s="244">
        <f>EF80-D80</f>
        <v>0</v>
      </c>
      <c r="H80" s="242" t="e">
        <f t="shared" si="12"/>
        <v>#DIV/0!</v>
      </c>
      <c r="I80" s="91"/>
    </row>
    <row r="81" spans="1:9">
      <c r="A81" s="2108"/>
      <c r="B81" s="1833"/>
      <c r="C81" s="250" t="s">
        <v>243</v>
      </c>
      <c r="D81" s="53"/>
      <c r="E81" s="53"/>
      <c r="F81" s="53"/>
      <c r="G81" s="244"/>
      <c r="H81" s="242"/>
      <c r="I81" s="91"/>
    </row>
    <row r="82" spans="1:9">
      <c r="A82" s="2108"/>
      <c r="B82" s="1834"/>
      <c r="C82" s="584" t="s">
        <v>96</v>
      </c>
      <c r="D82" s="553">
        <f>SUM(D77:D81)</f>
        <v>0</v>
      </c>
      <c r="E82" s="553">
        <f>SUM(E77:E81)</f>
        <v>0</v>
      </c>
      <c r="F82" s="553">
        <f>SUM(F77:F81)</f>
        <v>0</v>
      </c>
      <c r="G82" s="630">
        <f>EF82-D82</f>
        <v>0</v>
      </c>
      <c r="H82" s="642" t="e">
        <f t="shared" si="12"/>
        <v>#DIV/0!</v>
      </c>
      <c r="I82" s="89"/>
    </row>
    <row r="83" spans="1:9" ht="14.25" customHeight="1">
      <c r="A83" s="2108"/>
      <c r="B83" s="1836" t="s">
        <v>95</v>
      </c>
      <c r="C83" s="598" t="s">
        <v>201</v>
      </c>
      <c r="D83" s="244"/>
      <c r="E83" s="244"/>
      <c r="F83" s="244"/>
      <c r="G83" s="79"/>
      <c r="H83" s="151"/>
      <c r="I83" s="257"/>
    </row>
    <row r="84" spans="1:9" ht="14.25" customHeight="1">
      <c r="A84" s="2108"/>
      <c r="B84" s="1836"/>
      <c r="C84" s="599" t="s">
        <v>132</v>
      </c>
      <c r="D84" s="53"/>
      <c r="E84" s="53"/>
      <c r="F84" s="53"/>
      <c r="G84" s="77"/>
      <c r="H84" s="151"/>
      <c r="I84" s="91"/>
    </row>
    <row r="85" spans="1:9" ht="14.25" customHeight="1">
      <c r="A85" s="2108"/>
      <c r="B85" s="1836"/>
      <c r="C85" s="599" t="s">
        <v>144</v>
      </c>
      <c r="D85" s="53"/>
      <c r="E85" s="53"/>
      <c r="F85" s="53"/>
      <c r="G85" s="77"/>
      <c r="H85" s="151"/>
      <c r="I85" s="91"/>
    </row>
    <row r="86" spans="1:9" ht="14.25" customHeight="1">
      <c r="A86" s="2108"/>
      <c r="B86" s="1836"/>
      <c r="C86" s="599" t="s">
        <v>107</v>
      </c>
      <c r="D86" s="53"/>
      <c r="E86" s="53"/>
      <c r="F86" s="53"/>
      <c r="G86" s="77"/>
      <c r="H86" s="151"/>
      <c r="I86" s="91"/>
    </row>
    <row r="87" spans="1:9" ht="14.25" customHeight="1">
      <c r="A87" s="2108"/>
      <c r="B87" s="1836"/>
      <c r="C87" s="599" t="s">
        <v>113</v>
      </c>
      <c r="D87" s="53"/>
      <c r="E87" s="53"/>
      <c r="F87" s="53"/>
      <c r="G87" s="77"/>
      <c r="H87" s="151"/>
      <c r="I87" s="91"/>
    </row>
    <row r="88" spans="1:9" ht="14.25" customHeight="1">
      <c r="A88" s="2108"/>
      <c r="B88" s="1836"/>
      <c r="C88" s="599" t="s">
        <v>109</v>
      </c>
      <c r="D88" s="53"/>
      <c r="E88" s="53"/>
      <c r="F88" s="53"/>
      <c r="G88" s="77"/>
      <c r="H88" s="151"/>
      <c r="I88" s="91"/>
    </row>
    <row r="89" spans="1:9" ht="14.25" customHeight="1">
      <c r="A89" s="2108"/>
      <c r="B89" s="1836"/>
      <c r="C89" s="599" t="s">
        <v>122</v>
      </c>
      <c r="D89" s="53"/>
      <c r="E89" s="53"/>
      <c r="F89" s="53"/>
      <c r="G89" s="77"/>
      <c r="H89" s="151"/>
      <c r="I89" s="91"/>
    </row>
    <row r="90" spans="1:9" ht="14.25" customHeight="1">
      <c r="A90" s="2108"/>
      <c r="B90" s="1836"/>
      <c r="C90" s="599" t="s">
        <v>135</v>
      </c>
      <c r="D90" s="53"/>
      <c r="E90" s="53"/>
      <c r="F90" s="53"/>
      <c r="G90" s="77"/>
      <c r="H90" s="151"/>
      <c r="I90" s="91"/>
    </row>
    <row r="91" spans="1:9" ht="14.25" customHeight="1">
      <c r="A91" s="2108"/>
      <c r="B91" s="1836"/>
      <c r="C91" s="599" t="s">
        <v>205</v>
      </c>
      <c r="D91" s="600"/>
      <c r="E91" s="600"/>
      <c r="F91" s="600"/>
      <c r="G91" s="53"/>
      <c r="H91" s="151" t="e">
        <f>G91/D91*100%</f>
        <v>#DIV/0!</v>
      </c>
      <c r="I91" s="91"/>
    </row>
    <row r="92" spans="1:9" ht="14.25" customHeight="1">
      <c r="A92" s="2108"/>
      <c r="B92" s="1836"/>
      <c r="C92" s="599" t="s">
        <v>227</v>
      </c>
      <c r="D92" s="600"/>
      <c r="E92" s="600"/>
      <c r="F92" s="600"/>
      <c r="G92" s="53"/>
      <c r="H92" s="151" t="e">
        <f>G92/D92*100%</f>
        <v>#DIV/0!</v>
      </c>
      <c r="I92" s="91"/>
    </row>
    <row r="93" spans="1:9" ht="14.25" customHeight="1">
      <c r="A93" s="2108"/>
      <c r="B93" s="1836"/>
      <c r="C93" s="599" t="s">
        <v>240</v>
      </c>
      <c r="D93" s="53"/>
      <c r="E93" s="53"/>
      <c r="F93" s="53"/>
      <c r="G93" s="77"/>
      <c r="H93" s="151"/>
      <c r="I93" s="91"/>
    </row>
    <row r="94" spans="1:9" ht="14.25" customHeight="1">
      <c r="A94" s="2108"/>
      <c r="B94" s="1836"/>
      <c r="C94" s="599" t="s">
        <v>245</v>
      </c>
      <c r="D94" s="53"/>
      <c r="E94" s="53"/>
      <c r="F94" s="53"/>
      <c r="G94" s="77"/>
      <c r="H94" s="151"/>
      <c r="I94" s="91"/>
    </row>
    <row r="95" spans="1:9">
      <c r="A95" s="2108"/>
      <c r="B95" s="1836"/>
      <c r="C95" s="599" t="s">
        <v>228</v>
      </c>
      <c r="D95" s="53"/>
      <c r="E95" s="53"/>
      <c r="F95" s="53"/>
      <c r="G95" s="77"/>
      <c r="H95" s="151"/>
      <c r="I95" s="91"/>
    </row>
    <row r="96" spans="1:9">
      <c r="A96" s="2108"/>
      <c r="B96" s="1836"/>
      <c r="C96" s="599" t="s">
        <v>125</v>
      </c>
      <c r="D96" s="53"/>
      <c r="E96" s="53"/>
      <c r="F96" s="53"/>
      <c r="G96" s="77"/>
      <c r="H96" s="151"/>
      <c r="I96" s="91"/>
    </row>
    <row r="97" spans="1:9">
      <c r="A97" s="2108"/>
      <c r="B97" s="1836"/>
      <c r="C97" s="599" t="s">
        <v>254</v>
      </c>
      <c r="D97" s="53"/>
      <c r="E97" s="53"/>
      <c r="F97" s="53"/>
      <c r="G97" s="77"/>
      <c r="H97" s="151"/>
      <c r="I97" s="91"/>
    </row>
    <row r="98" spans="1:9">
      <c r="A98" s="2108"/>
      <c r="B98" s="1836"/>
      <c r="C98" s="599" t="s">
        <v>127</v>
      </c>
      <c r="D98" s="53"/>
      <c r="E98" s="53"/>
      <c r="F98" s="53"/>
      <c r="G98" s="77"/>
      <c r="H98" s="151"/>
      <c r="I98" s="91"/>
    </row>
    <row r="99" spans="1:9">
      <c r="A99" s="2108"/>
      <c r="B99" s="1836"/>
      <c r="C99" s="599" t="s">
        <v>140</v>
      </c>
      <c r="D99" s="53"/>
      <c r="E99" s="53"/>
      <c r="F99" s="53"/>
      <c r="G99" s="77"/>
      <c r="H99" s="151"/>
      <c r="I99" s="91"/>
    </row>
    <row r="100" spans="1:9">
      <c r="A100" s="2108"/>
      <c r="B100" s="1836"/>
      <c r="C100" s="599" t="s">
        <v>215</v>
      </c>
      <c r="D100" s="53"/>
      <c r="E100" s="53"/>
      <c r="F100" s="53"/>
      <c r="G100" s="77"/>
      <c r="H100" s="151"/>
      <c r="I100" s="91"/>
    </row>
    <row r="101" spans="1:9">
      <c r="A101" s="2108"/>
      <c r="B101" s="1836"/>
      <c r="C101" s="599" t="s">
        <v>185</v>
      </c>
      <c r="D101" s="53"/>
      <c r="E101" s="53"/>
      <c r="F101" s="53"/>
      <c r="G101" s="77"/>
      <c r="H101" s="151"/>
      <c r="I101" s="91"/>
    </row>
    <row r="102" spans="1:9">
      <c r="A102" s="2108"/>
      <c r="B102" s="1836"/>
      <c r="C102" s="599" t="s">
        <v>134</v>
      </c>
      <c r="D102" s="53"/>
      <c r="E102" s="53"/>
      <c r="F102" s="53"/>
      <c r="G102" s="77"/>
      <c r="H102" s="151"/>
      <c r="I102" s="91"/>
    </row>
    <row r="103" spans="1:9">
      <c r="A103" s="2108"/>
      <c r="B103" s="1836"/>
      <c r="C103" s="599" t="s">
        <v>222</v>
      </c>
      <c r="D103" s="53"/>
      <c r="E103" s="53"/>
      <c r="F103" s="53"/>
      <c r="G103" s="77"/>
      <c r="H103" s="151"/>
      <c r="I103" s="91"/>
    </row>
    <row r="104" spans="1:9">
      <c r="A104" s="2108"/>
      <c r="B104" s="1836"/>
      <c r="C104" s="599" t="s">
        <v>255</v>
      </c>
      <c r="D104" s="53"/>
      <c r="E104" s="53"/>
      <c r="F104" s="53"/>
      <c r="G104" s="77"/>
      <c r="H104" s="151"/>
      <c r="I104" s="91"/>
    </row>
    <row r="105" spans="1:9">
      <c r="A105" s="2108"/>
      <c r="B105" s="1814"/>
      <c r="C105" s="241" t="s">
        <v>96</v>
      </c>
      <c r="D105" s="77">
        <f>SUM(D83:D104)</f>
        <v>0</v>
      </c>
      <c r="E105" s="77">
        <f>SUM(E83:E104)</f>
        <v>0</v>
      </c>
      <c r="F105" s="77">
        <f>SUM(F83:F104)</f>
        <v>0</v>
      </c>
      <c r="G105" s="53">
        <f t="shared" si="11"/>
        <v>0</v>
      </c>
      <c r="H105" s="151" t="e">
        <f>G105/D105*100%</f>
        <v>#DIV/0!</v>
      </c>
      <c r="I105" s="91"/>
    </row>
    <row r="106" spans="1:9">
      <c r="A106" s="2109"/>
      <c r="B106" s="1914" t="s">
        <v>71</v>
      </c>
      <c r="C106" s="1914"/>
      <c r="D106" s="553">
        <f>SUM(D82,D105)</f>
        <v>0</v>
      </c>
      <c r="E106" s="553">
        <f>SUM(E82,E105)</f>
        <v>0</v>
      </c>
      <c r="F106" s="553">
        <f>SUM(F82,F105)</f>
        <v>0</v>
      </c>
      <c r="G106" s="614">
        <f t="shared" si="11"/>
        <v>0</v>
      </c>
      <c r="H106" s="559" t="e">
        <f>G106/D106*100%</f>
        <v>#DIV/0!</v>
      </c>
      <c r="I106" s="312"/>
    </row>
    <row r="107" spans="1:9">
      <c r="A107" s="2108" t="s">
        <v>198</v>
      </c>
      <c r="B107" s="385" t="s">
        <v>80</v>
      </c>
      <c r="C107" s="243" t="s">
        <v>80</v>
      </c>
      <c r="D107" s="626"/>
      <c r="E107" s="629"/>
      <c r="F107" s="629"/>
      <c r="G107" s="44">
        <f>F107-D107</f>
        <v>0</v>
      </c>
      <c r="H107" s="151" t="e">
        <f>G107/D107*100%</f>
        <v>#DIV/0!</v>
      </c>
      <c r="I107" s="46"/>
    </row>
    <row r="108" spans="1:9">
      <c r="A108" s="2109"/>
      <c r="B108" s="1932" t="s">
        <v>71</v>
      </c>
      <c r="C108" s="1933"/>
      <c r="D108" s="576">
        <f>D107</f>
        <v>0</v>
      </c>
      <c r="E108" s="576">
        <f>E107</f>
        <v>0</v>
      </c>
      <c r="F108" s="576">
        <f>F107</f>
        <v>0</v>
      </c>
      <c r="G108" s="621">
        <f>F108-D108</f>
        <v>0</v>
      </c>
      <c r="H108" s="577" t="e">
        <f>G108/D108*100%</f>
        <v>#DIV/0!</v>
      </c>
      <c r="I108" s="51"/>
    </row>
    <row r="109" spans="1:9">
      <c r="A109" s="2101" t="s">
        <v>126</v>
      </c>
      <c r="B109" s="2103" t="s">
        <v>131</v>
      </c>
      <c r="C109" s="180" t="s">
        <v>79</v>
      </c>
      <c r="D109" s="631"/>
      <c r="E109" s="79"/>
      <c r="F109" s="239"/>
      <c r="G109" s="632">
        <f>E109-D109</f>
        <v>0</v>
      </c>
      <c r="H109" s="151" t="e">
        <f>E109/D109*100%</f>
        <v>#DIV/0!</v>
      </c>
      <c r="I109" s="48"/>
    </row>
    <row r="110" spans="1:9">
      <c r="A110" s="2101"/>
      <c r="B110" s="2104"/>
      <c r="C110" s="175" t="s">
        <v>63</v>
      </c>
      <c r="D110" s="238"/>
      <c r="E110" s="53"/>
      <c r="F110" s="85"/>
      <c r="G110" s="44"/>
      <c r="H110" s="151"/>
      <c r="I110" s="46"/>
    </row>
    <row r="111" spans="1:9">
      <c r="A111" s="2102"/>
      <c r="B111" s="2105" t="s">
        <v>71</v>
      </c>
      <c r="C111" s="2106"/>
      <c r="D111" s="578">
        <f>SUM(D109:D110)</f>
        <v>0</v>
      </c>
      <c r="E111" s="578">
        <f t="shared" ref="E111:F111" si="13">SUM(E109:E110)</f>
        <v>0</v>
      </c>
      <c r="F111" s="578">
        <f t="shared" si="13"/>
        <v>0</v>
      </c>
      <c r="G111" s="689">
        <f>E111-D111</f>
        <v>0</v>
      </c>
      <c r="H111" s="577" t="e">
        <f>G111/D111*100%</f>
        <v>#DIV/0!</v>
      </c>
      <c r="I111" s="51"/>
    </row>
    <row r="112" spans="1:9">
      <c r="A112" s="1843" t="s">
        <v>129</v>
      </c>
      <c r="B112" s="1846" t="s">
        <v>56</v>
      </c>
      <c r="C112" s="178" t="s">
        <v>152</v>
      </c>
      <c r="D112" s="651"/>
      <c r="E112" s="651"/>
      <c r="F112" s="653"/>
      <c r="G112" s="181">
        <f t="shared" ref="G112:G118" si="14">F112-D112</f>
        <v>0</v>
      </c>
      <c r="H112" s="657"/>
      <c r="I112" s="654"/>
    </row>
    <row r="113" spans="1:9">
      <c r="A113" s="1844"/>
      <c r="B113" s="1847"/>
      <c r="C113" s="638" t="s">
        <v>139</v>
      </c>
      <c r="D113" s="650"/>
      <c r="E113" s="650"/>
      <c r="F113" s="650"/>
      <c r="G113" s="45">
        <f t="shared" si="14"/>
        <v>0</v>
      </c>
      <c r="H113" s="541"/>
      <c r="I113" s="655"/>
    </row>
    <row r="114" spans="1:9">
      <c r="A114" s="1845"/>
      <c r="B114" s="2084" t="s">
        <v>71</v>
      </c>
      <c r="C114" s="2085"/>
      <c r="D114" s="578">
        <f>SUM(D112:D113)</f>
        <v>0</v>
      </c>
      <c r="E114" s="578">
        <f t="shared" ref="E114:F114" si="15">SUM(E112:E113)</f>
        <v>0</v>
      </c>
      <c r="F114" s="578">
        <f t="shared" si="15"/>
        <v>0</v>
      </c>
      <c r="G114" s="49">
        <f t="shared" si="14"/>
        <v>0</v>
      </c>
      <c r="H114" s="656"/>
      <c r="I114" s="51"/>
    </row>
    <row r="115" spans="1:9">
      <c r="A115" s="1843" t="s">
        <v>288</v>
      </c>
      <c r="B115" s="1846" t="s">
        <v>56</v>
      </c>
      <c r="C115" s="178" t="s">
        <v>142</v>
      </c>
      <c r="D115" s="651"/>
      <c r="E115" s="651">
        <f>'[2]9-1.은학의집(재가복지)'!E115+'[2]9-2은학의집(요양시설)'!E115</f>
        <v>0</v>
      </c>
      <c r="F115" s="651"/>
      <c r="G115" s="181">
        <f t="shared" si="14"/>
        <v>0</v>
      </c>
      <c r="H115" s="657"/>
      <c r="I115" s="654"/>
    </row>
    <row r="116" spans="1:9" ht="34">
      <c r="A116" s="1844"/>
      <c r="B116" s="1847"/>
      <c r="C116" s="638" t="s">
        <v>277</v>
      </c>
      <c r="D116" s="650"/>
      <c r="E116" s="650">
        <f>'[2]9-1.은학의집(재가복지)'!E116+'[2]9-2은학의집(요양시설)'!E116</f>
        <v>0</v>
      </c>
      <c r="F116" s="650"/>
      <c r="G116" s="45">
        <f t="shared" si="14"/>
        <v>0</v>
      </c>
      <c r="H116" s="541"/>
      <c r="I116" s="655"/>
    </row>
    <row r="117" spans="1:9">
      <c r="A117" s="1845"/>
      <c r="B117" s="2084" t="s">
        <v>71</v>
      </c>
      <c r="C117" s="2085"/>
      <c r="D117" s="578">
        <f>SUM(D115:D116)</f>
        <v>0</v>
      </c>
      <c r="E117" s="578">
        <f t="shared" ref="E117:F117" si="16">SUM(E115:E116)</f>
        <v>0</v>
      </c>
      <c r="F117" s="578">
        <f t="shared" si="16"/>
        <v>0</v>
      </c>
      <c r="G117" s="49">
        <f t="shared" si="14"/>
        <v>0</v>
      </c>
      <c r="H117" s="656"/>
      <c r="I117" s="51"/>
    </row>
    <row r="118" spans="1:9">
      <c r="A118" s="647" t="s">
        <v>165</v>
      </c>
      <c r="B118" s="648" t="s">
        <v>165</v>
      </c>
      <c r="C118" s="649" t="s">
        <v>160</v>
      </c>
      <c r="D118" s="644"/>
      <c r="E118" s="664"/>
      <c r="F118" s="664"/>
      <c r="G118" s="641">
        <f t="shared" si="14"/>
        <v>0</v>
      </c>
      <c r="H118" s="728" t="e">
        <f>G118/D118*100%</f>
        <v>#DIV/0!</v>
      </c>
      <c r="I118" s="729"/>
    </row>
    <row r="119" spans="1:9">
      <c r="A119" s="2092" t="s">
        <v>76</v>
      </c>
      <c r="B119" s="2093"/>
      <c r="C119" s="2094"/>
      <c r="D119" s="659">
        <f>SUM(D72,D76,D106,D108,D111,D118,D117,D114)</f>
        <v>0</v>
      </c>
      <c r="E119" s="659">
        <f t="shared" ref="E119:F119" si="17">SUM(E72,E76,E106,E108,E111,E118,E117,E114)</f>
        <v>0</v>
      </c>
      <c r="F119" s="659">
        <f t="shared" si="17"/>
        <v>0</v>
      </c>
      <c r="G119" s="682">
        <f>F119-D119</f>
        <v>0</v>
      </c>
      <c r="H119" s="663" t="e">
        <f>G119/D119*100%</f>
        <v>#DIV/0!</v>
      </c>
      <c r="I119" s="660"/>
    </row>
    <row r="121" spans="1:9">
      <c r="G121" s="690"/>
    </row>
  </sheetData>
  <mergeCells count="68">
    <mergeCell ref="A115:A117"/>
    <mergeCell ref="B115:B116"/>
    <mergeCell ref="B117:C117"/>
    <mergeCell ref="A119:C119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  <mergeCell ref="A8:A13"/>
    <mergeCell ref="B8:B12"/>
    <mergeCell ref="B13:C13"/>
    <mergeCell ref="A14:A22"/>
    <mergeCell ref="B14:B21"/>
    <mergeCell ref="B22:C22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41:A45"/>
    <mergeCell ref="B41:B44"/>
    <mergeCell ref="B45:C45"/>
    <mergeCell ref="A46:A48"/>
    <mergeCell ref="B46:B47"/>
    <mergeCell ref="B48:C48"/>
    <mergeCell ref="A49:C49"/>
    <mergeCell ref="A50:I50"/>
    <mergeCell ref="H51:H52"/>
    <mergeCell ref="I51:I52"/>
    <mergeCell ref="B53:B59"/>
    <mergeCell ref="B60:B63"/>
    <mergeCell ref="B64:B71"/>
    <mergeCell ref="A51:C51"/>
    <mergeCell ref="D51:D52"/>
    <mergeCell ref="E51:E52"/>
    <mergeCell ref="F51:F52"/>
    <mergeCell ref="G51:G52"/>
    <mergeCell ref="A112:A114"/>
    <mergeCell ref="B112:B113"/>
    <mergeCell ref="B114:C114"/>
    <mergeCell ref="B72:C72"/>
    <mergeCell ref="A73:A76"/>
    <mergeCell ref="B73:B75"/>
    <mergeCell ref="B76:C76"/>
    <mergeCell ref="A109:A111"/>
    <mergeCell ref="B109:B110"/>
    <mergeCell ref="B111:C111"/>
    <mergeCell ref="A77:A106"/>
    <mergeCell ref="B77:B82"/>
    <mergeCell ref="B83:B105"/>
    <mergeCell ref="B106:C106"/>
    <mergeCell ref="A107:A108"/>
    <mergeCell ref="B108:C108"/>
  </mergeCells>
  <phoneticPr fontId="25" type="noConversion"/>
  <pageMargins left="0.25" right="0.25" top="0.75" bottom="0.75" header="0.30000001192092896" footer="0.30000001192092896"/>
  <pageSetup paperSize="9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66FF33"/>
  </sheetPr>
  <dimension ref="A1:I81"/>
  <sheetViews>
    <sheetView topLeftCell="A59" zoomScaleNormal="100" zoomScaleSheetLayoutView="75" workbookViewId="0">
      <selection activeCell="F25" sqref="F25"/>
    </sheetView>
  </sheetViews>
  <sheetFormatPr defaultColWidth="8.58203125" defaultRowHeight="17"/>
  <cols>
    <col min="1" max="1" width="15.75" style="1" customWidth="1"/>
    <col min="2" max="2" width="15.33203125" style="1" customWidth="1"/>
    <col min="3" max="3" width="18.08203125" style="1" customWidth="1"/>
    <col min="4" max="4" width="19" style="1" customWidth="1"/>
    <col min="5" max="5" width="20.5" style="1" customWidth="1"/>
    <col min="6" max="6" width="18.08203125" style="1" customWidth="1"/>
    <col min="7" max="7" width="17.25" style="1" customWidth="1"/>
    <col min="8" max="8" width="11.08203125" style="1" customWidth="1"/>
    <col min="9" max="9" width="42" style="1" customWidth="1"/>
  </cols>
  <sheetData>
    <row r="1" spans="1:9" ht="20.5">
      <c r="A1" s="2141"/>
      <c r="B1" s="2141"/>
      <c r="C1" s="2141"/>
      <c r="D1" s="2141"/>
      <c r="E1" s="2141"/>
      <c r="F1" s="2141"/>
      <c r="G1" s="2141"/>
      <c r="H1" s="2141"/>
      <c r="I1" s="2141"/>
    </row>
    <row r="2" spans="1:9" ht="30">
      <c r="A2" s="2142" t="s">
        <v>261</v>
      </c>
      <c r="B2" s="2142"/>
      <c r="C2" s="2142"/>
      <c r="D2" s="2142"/>
      <c r="E2" s="2142"/>
      <c r="F2" s="2142"/>
      <c r="G2" s="2142"/>
      <c r="H2" s="2142"/>
      <c r="I2" s="2142"/>
    </row>
    <row r="3" spans="1:9" ht="17.149999999999999" customHeight="1">
      <c r="A3" s="2012" t="s">
        <v>36</v>
      </c>
      <c r="B3" s="2012"/>
      <c r="C3" s="2012"/>
      <c r="D3" s="2012"/>
      <c r="E3" s="2012"/>
      <c r="F3" s="2012"/>
      <c r="G3" s="2012"/>
      <c r="H3" s="2012"/>
      <c r="I3" s="2012"/>
    </row>
    <row r="4" spans="1:9" ht="17.149999999999999" customHeight="1">
      <c r="A4" s="2012"/>
      <c r="B4" s="2012"/>
      <c r="C4" s="2012"/>
      <c r="D4" s="2012"/>
      <c r="E4" s="2012"/>
      <c r="F4" s="2012"/>
      <c r="G4" s="2012"/>
      <c r="H4" s="2012"/>
      <c r="I4" s="2012"/>
    </row>
    <row r="5" spans="1:9" ht="17.5">
      <c r="A5" s="2143" t="s">
        <v>13</v>
      </c>
      <c r="B5" s="2143"/>
      <c r="C5" s="2143"/>
      <c r="D5" s="2143"/>
      <c r="E5" s="2143"/>
      <c r="F5" s="2143"/>
      <c r="G5" s="2143"/>
      <c r="H5" s="2143"/>
      <c r="I5" s="2143"/>
    </row>
    <row r="6" spans="1:9" ht="17.25" customHeight="1">
      <c r="A6" s="1860" t="s">
        <v>156</v>
      </c>
      <c r="B6" s="1861"/>
      <c r="C6" s="1861"/>
      <c r="D6" s="1799" t="s">
        <v>281</v>
      </c>
      <c r="E6" s="1799" t="s">
        <v>45</v>
      </c>
      <c r="F6" s="1799" t="s">
        <v>43</v>
      </c>
      <c r="G6" s="1799" t="s">
        <v>108</v>
      </c>
      <c r="H6" s="1803" t="s">
        <v>186</v>
      </c>
      <c r="I6" s="1805" t="s">
        <v>146</v>
      </c>
    </row>
    <row r="7" spans="1:9" ht="17.25" customHeight="1">
      <c r="A7" s="104" t="s">
        <v>78</v>
      </c>
      <c r="B7" s="105" t="s">
        <v>88</v>
      </c>
      <c r="C7" s="105" t="s">
        <v>89</v>
      </c>
      <c r="D7" s="1800"/>
      <c r="E7" s="1800"/>
      <c r="F7" s="1800"/>
      <c r="G7" s="1800"/>
      <c r="H7" s="2144"/>
      <c r="I7" s="1945"/>
    </row>
    <row r="8" spans="1:9">
      <c r="A8" s="2125" t="s">
        <v>85</v>
      </c>
      <c r="B8" s="2118" t="s">
        <v>85</v>
      </c>
      <c r="C8" s="189" t="s">
        <v>143</v>
      </c>
      <c r="D8" s="29"/>
      <c r="E8" s="29"/>
      <c r="F8" s="26"/>
      <c r="G8" s="13">
        <f>F8-D8</f>
        <v>0</v>
      </c>
      <c r="H8" s="157" t="e">
        <f>G8/D8*100</f>
        <v>#DIV/0!</v>
      </c>
      <c r="I8" s="199"/>
    </row>
    <row r="9" spans="1:9">
      <c r="A9" s="2127"/>
      <c r="B9" s="2119"/>
      <c r="C9" s="417" t="s">
        <v>138</v>
      </c>
      <c r="D9" s="486"/>
      <c r="E9" s="486"/>
      <c r="F9" s="487"/>
      <c r="G9" s="13">
        <f>F9-D9</f>
        <v>0</v>
      </c>
      <c r="H9" s="157" t="e">
        <f>G9/D9*100</f>
        <v>#DIV/0!</v>
      </c>
      <c r="I9" s="488"/>
    </row>
    <row r="10" spans="1:9">
      <c r="A10" s="2126"/>
      <c r="B10" s="2123" t="s">
        <v>71</v>
      </c>
      <c r="C10" s="2123"/>
      <c r="D10" s="106"/>
      <c r="E10" s="106"/>
      <c r="F10" s="107"/>
      <c r="G10" s="108">
        <f t="shared" ref="G10:G33" si="0">F10-D10</f>
        <v>0</v>
      </c>
      <c r="H10" s="171" t="e">
        <f t="shared" ref="H10:H33" si="1">G10/D10*100</f>
        <v>#DIV/0!</v>
      </c>
      <c r="I10" s="200"/>
    </row>
    <row r="11" spans="1:9">
      <c r="A11" s="2133" t="s">
        <v>224</v>
      </c>
      <c r="B11" s="403" t="s">
        <v>124</v>
      </c>
      <c r="C11" s="186" t="s">
        <v>199</v>
      </c>
      <c r="D11" s="125"/>
      <c r="E11" s="125"/>
      <c r="F11" s="123"/>
      <c r="G11" s="126">
        <f t="shared" si="0"/>
        <v>0</v>
      </c>
      <c r="H11" s="170" t="e">
        <f t="shared" si="1"/>
        <v>#DIV/0!</v>
      </c>
      <c r="I11" s="201"/>
    </row>
    <row r="12" spans="1:9">
      <c r="A12" s="2133"/>
      <c r="B12" s="414" t="s">
        <v>220</v>
      </c>
      <c r="C12" s="186" t="s">
        <v>220</v>
      </c>
      <c r="D12" s="29"/>
      <c r="E12" s="29"/>
      <c r="F12" s="26"/>
      <c r="G12" s="13">
        <f t="shared" si="0"/>
        <v>0</v>
      </c>
      <c r="H12" s="157" t="e">
        <f t="shared" si="1"/>
        <v>#DIV/0!</v>
      </c>
      <c r="I12" s="199"/>
    </row>
    <row r="13" spans="1:9">
      <c r="A13" s="2117"/>
      <c r="B13" s="2131" t="s">
        <v>71</v>
      </c>
      <c r="C13" s="2132"/>
      <c r="D13" s="172"/>
      <c r="E13" s="172"/>
      <c r="F13" s="173"/>
      <c r="G13" s="108">
        <f t="shared" si="0"/>
        <v>0</v>
      </c>
      <c r="H13" s="171" t="e">
        <f t="shared" si="1"/>
        <v>#DIV/0!</v>
      </c>
      <c r="I13" s="202"/>
    </row>
    <row r="14" spans="1:9">
      <c r="A14" s="2124" t="s">
        <v>197</v>
      </c>
      <c r="B14" s="2121" t="s">
        <v>149</v>
      </c>
      <c r="C14" s="208" t="s">
        <v>149</v>
      </c>
      <c r="D14" s="118"/>
      <c r="E14" s="118"/>
      <c r="F14" s="119"/>
      <c r="G14" s="126">
        <f t="shared" si="0"/>
        <v>0</v>
      </c>
      <c r="H14" s="170" t="e">
        <f t="shared" si="1"/>
        <v>#DIV/0!</v>
      </c>
      <c r="I14" s="203"/>
    </row>
    <row r="15" spans="1:9">
      <c r="A15" s="2124"/>
      <c r="B15" s="2122"/>
      <c r="C15" s="208" t="s">
        <v>71</v>
      </c>
      <c r="D15" s="118"/>
      <c r="E15" s="118"/>
      <c r="F15" s="119"/>
      <c r="G15" s="13">
        <f t="shared" si="0"/>
        <v>0</v>
      </c>
      <c r="H15" s="157" t="e">
        <f t="shared" si="1"/>
        <v>#DIV/0!</v>
      </c>
      <c r="I15" s="203"/>
    </row>
    <row r="16" spans="1:9">
      <c r="A16" s="2125"/>
      <c r="B16" s="2120" t="s">
        <v>233</v>
      </c>
      <c r="C16" s="191" t="s">
        <v>188</v>
      </c>
      <c r="D16" s="103"/>
      <c r="E16" s="103"/>
      <c r="F16" s="102"/>
      <c r="G16" s="13">
        <f t="shared" si="0"/>
        <v>0</v>
      </c>
      <c r="H16" s="157" t="e">
        <f t="shared" si="1"/>
        <v>#DIV/0!</v>
      </c>
      <c r="I16" s="204"/>
    </row>
    <row r="17" spans="1:9">
      <c r="A17" s="2125"/>
      <c r="B17" s="2121"/>
      <c r="C17" s="191" t="s">
        <v>154</v>
      </c>
      <c r="D17" s="103"/>
      <c r="E17" s="103"/>
      <c r="F17" s="102"/>
      <c r="G17" s="13">
        <f t="shared" si="0"/>
        <v>0</v>
      </c>
      <c r="H17" s="157" t="e">
        <f t="shared" si="1"/>
        <v>#DIV/0!</v>
      </c>
      <c r="I17" s="204"/>
    </row>
    <row r="18" spans="1:9">
      <c r="A18" s="2125"/>
      <c r="B18" s="2121"/>
      <c r="C18" s="191" t="s">
        <v>177</v>
      </c>
      <c r="D18" s="103"/>
      <c r="E18" s="103"/>
      <c r="F18" s="102"/>
      <c r="G18" s="13">
        <f t="shared" si="0"/>
        <v>0</v>
      </c>
      <c r="H18" s="157" t="e">
        <f t="shared" si="1"/>
        <v>#DIV/0!</v>
      </c>
      <c r="I18" s="204"/>
    </row>
    <row r="19" spans="1:9">
      <c r="A19" s="2125"/>
      <c r="B19" s="2122"/>
      <c r="C19" s="191" t="s">
        <v>71</v>
      </c>
      <c r="D19" s="103"/>
      <c r="E19" s="103"/>
      <c r="F19" s="102"/>
      <c r="G19" s="13">
        <f t="shared" si="0"/>
        <v>0</v>
      </c>
      <c r="H19" s="157" t="e">
        <f t="shared" si="1"/>
        <v>#DIV/0!</v>
      </c>
      <c r="I19" s="204"/>
    </row>
    <row r="20" spans="1:9">
      <c r="A20" s="2126"/>
      <c r="B20" s="2123" t="s">
        <v>71</v>
      </c>
      <c r="C20" s="2123"/>
      <c r="D20" s="109"/>
      <c r="E20" s="109"/>
      <c r="F20" s="110"/>
      <c r="G20" s="108">
        <f t="shared" si="0"/>
        <v>0</v>
      </c>
      <c r="H20" s="171" t="e">
        <f t="shared" si="1"/>
        <v>#DIV/0!</v>
      </c>
      <c r="I20" s="205"/>
    </row>
    <row r="21" spans="1:9">
      <c r="A21" s="2124" t="s">
        <v>69</v>
      </c>
      <c r="B21" s="209" t="s">
        <v>69</v>
      </c>
      <c r="C21" s="210" t="s">
        <v>69</v>
      </c>
      <c r="D21" s="119"/>
      <c r="E21" s="119"/>
      <c r="F21" s="118"/>
      <c r="G21" s="126">
        <f t="shared" si="0"/>
        <v>0</v>
      </c>
      <c r="H21" s="170" t="e">
        <f t="shared" si="1"/>
        <v>#DIV/0!</v>
      </c>
      <c r="I21" s="206"/>
    </row>
    <row r="22" spans="1:9">
      <c r="A22" s="2126"/>
      <c r="B22" s="2123" t="s">
        <v>71</v>
      </c>
      <c r="C22" s="2123"/>
      <c r="D22" s="110"/>
      <c r="E22" s="110"/>
      <c r="F22" s="111"/>
      <c r="G22" s="108">
        <f t="shared" si="0"/>
        <v>0</v>
      </c>
      <c r="H22" s="171" t="e">
        <f t="shared" si="1"/>
        <v>#DIV/0!</v>
      </c>
      <c r="I22" s="205"/>
    </row>
    <row r="23" spans="1:9">
      <c r="A23" s="2116" t="s">
        <v>86</v>
      </c>
      <c r="B23" s="398" t="s">
        <v>86</v>
      </c>
      <c r="C23" s="507" t="s">
        <v>157</v>
      </c>
      <c r="D23" s="508"/>
      <c r="E23" s="508"/>
      <c r="F23" s="508"/>
      <c r="G23" s="10">
        <f t="shared" si="0"/>
        <v>0</v>
      </c>
      <c r="H23" s="509" t="e">
        <f t="shared" si="1"/>
        <v>#DIV/0!</v>
      </c>
      <c r="I23" s="510"/>
    </row>
    <row r="24" spans="1:9">
      <c r="A24" s="2117"/>
      <c r="B24" s="1786" t="s">
        <v>71</v>
      </c>
      <c r="C24" s="1787"/>
      <c r="D24" s="109"/>
      <c r="E24" s="109"/>
      <c r="F24" s="109"/>
      <c r="G24" s="511">
        <f t="shared" si="0"/>
        <v>0</v>
      </c>
      <c r="H24" s="512" t="e">
        <f t="shared" si="1"/>
        <v>#DIV/0!</v>
      </c>
      <c r="I24" s="111"/>
    </row>
    <row r="25" spans="1:9">
      <c r="A25" s="413" t="s">
        <v>153</v>
      </c>
      <c r="B25" s="414" t="s">
        <v>153</v>
      </c>
      <c r="C25" s="186" t="s">
        <v>153</v>
      </c>
      <c r="D25" s="118"/>
      <c r="E25" s="118"/>
      <c r="F25" s="118"/>
      <c r="G25" s="126">
        <f t="shared" si="0"/>
        <v>0</v>
      </c>
      <c r="H25" s="170" t="e">
        <f t="shared" si="1"/>
        <v>#DIV/0!</v>
      </c>
      <c r="I25" s="506"/>
    </row>
    <row r="26" spans="1:9">
      <c r="A26" s="505"/>
      <c r="B26" s="2123" t="s">
        <v>71</v>
      </c>
      <c r="C26" s="2123"/>
      <c r="D26" s="109"/>
      <c r="E26" s="109"/>
      <c r="F26" s="109"/>
      <c r="G26" s="108">
        <f t="shared" si="0"/>
        <v>0</v>
      </c>
      <c r="H26" s="171" t="e">
        <f t="shared" si="1"/>
        <v>#DIV/0!</v>
      </c>
      <c r="I26" s="205"/>
    </row>
    <row r="27" spans="1:9">
      <c r="A27" s="2124" t="s">
        <v>61</v>
      </c>
      <c r="B27" s="2122" t="s">
        <v>61</v>
      </c>
      <c r="C27" s="209" t="s">
        <v>145</v>
      </c>
      <c r="D27" s="118"/>
      <c r="E27" s="118"/>
      <c r="F27" s="118"/>
      <c r="G27" s="126">
        <f t="shared" si="0"/>
        <v>0</v>
      </c>
      <c r="H27" s="170" t="e">
        <f t="shared" si="1"/>
        <v>#DIV/0!</v>
      </c>
      <c r="I27" s="206"/>
    </row>
    <row r="28" spans="1:9">
      <c r="A28" s="2125"/>
      <c r="B28" s="2128"/>
      <c r="C28" s="189" t="s">
        <v>171</v>
      </c>
      <c r="D28" s="103"/>
      <c r="E28" s="103"/>
      <c r="F28" s="103"/>
      <c r="G28" s="13">
        <f t="shared" si="0"/>
        <v>0</v>
      </c>
      <c r="H28" s="157" t="e">
        <f t="shared" si="1"/>
        <v>#DIV/0!</v>
      </c>
      <c r="I28" s="207"/>
    </row>
    <row r="29" spans="1:9">
      <c r="A29" s="2126"/>
      <c r="B29" s="2123" t="s">
        <v>71</v>
      </c>
      <c r="C29" s="2123"/>
      <c r="D29" s="109"/>
      <c r="E29" s="109"/>
      <c r="F29" s="109"/>
      <c r="G29" s="108">
        <f t="shared" si="0"/>
        <v>0</v>
      </c>
      <c r="H29" s="171" t="e">
        <f t="shared" si="1"/>
        <v>#DIV/0!</v>
      </c>
      <c r="I29" s="205"/>
    </row>
    <row r="30" spans="1:9">
      <c r="A30" s="2124" t="s">
        <v>242</v>
      </c>
      <c r="B30" s="2122" t="s">
        <v>235</v>
      </c>
      <c r="C30" s="209" t="s">
        <v>178</v>
      </c>
      <c r="D30" s="101"/>
      <c r="E30" s="101"/>
      <c r="F30" s="14"/>
      <c r="G30" s="126">
        <f t="shared" si="0"/>
        <v>0</v>
      </c>
      <c r="H30" s="170" t="e">
        <f t="shared" si="1"/>
        <v>#DIV/0!</v>
      </c>
      <c r="I30" s="15"/>
    </row>
    <row r="31" spans="1:9">
      <c r="A31" s="2125"/>
      <c r="B31" s="2128"/>
      <c r="C31" s="189" t="s">
        <v>110</v>
      </c>
      <c r="D31" s="101"/>
      <c r="E31" s="101"/>
      <c r="F31" s="14"/>
      <c r="G31" s="13">
        <f t="shared" si="0"/>
        <v>0</v>
      </c>
      <c r="H31" s="157" t="e">
        <f t="shared" si="1"/>
        <v>#DIV/0!</v>
      </c>
      <c r="I31" s="15"/>
    </row>
    <row r="32" spans="1:9">
      <c r="A32" s="2127"/>
      <c r="B32" s="2129" t="s">
        <v>71</v>
      </c>
      <c r="C32" s="2130"/>
      <c r="D32" s="169"/>
      <c r="E32" s="169"/>
      <c r="F32" s="158"/>
      <c r="G32" s="159">
        <f t="shared" si="0"/>
        <v>0</v>
      </c>
      <c r="H32" s="160" t="e">
        <f t="shared" si="1"/>
        <v>#DIV/0!</v>
      </c>
      <c r="I32" s="161"/>
    </row>
    <row r="33" spans="1:9">
      <c r="A33" s="2134" t="s">
        <v>76</v>
      </c>
      <c r="B33" s="2135"/>
      <c r="C33" s="2135"/>
      <c r="D33" s="112">
        <f>SUM(D10,D13,D20,D22,D26,D29,D32)</f>
        <v>0</v>
      </c>
      <c r="E33" s="112"/>
      <c r="F33" s="112">
        <f>SUM(F10,F13,F20,F22,F26,F29,F32)</f>
        <v>0</v>
      </c>
      <c r="G33" s="162">
        <f t="shared" si="0"/>
        <v>0</v>
      </c>
      <c r="H33" s="163" t="e">
        <f t="shared" si="1"/>
        <v>#DIV/0!</v>
      </c>
      <c r="I33" s="113"/>
    </row>
    <row r="34" spans="1:9">
      <c r="A34" s="2136" t="s">
        <v>4</v>
      </c>
      <c r="B34" s="2137"/>
      <c r="C34" s="2137"/>
      <c r="D34" s="2137"/>
      <c r="E34" s="2137"/>
      <c r="F34" s="2137"/>
      <c r="G34" s="2137"/>
      <c r="H34" s="2137"/>
      <c r="I34" s="2138"/>
    </row>
    <row r="35" spans="1:9" ht="17.25" customHeight="1">
      <c r="A35" s="2139" t="s">
        <v>156</v>
      </c>
      <c r="B35" s="2140"/>
      <c r="C35" s="2140"/>
      <c r="D35" s="1799" t="s">
        <v>281</v>
      </c>
      <c r="E35" s="1799" t="s">
        <v>45</v>
      </c>
      <c r="F35" s="1799" t="s">
        <v>43</v>
      </c>
      <c r="G35" s="1799" t="s">
        <v>108</v>
      </c>
      <c r="H35" s="1803" t="s">
        <v>186</v>
      </c>
      <c r="I35" s="1805" t="s">
        <v>146</v>
      </c>
    </row>
    <row r="36" spans="1:9" ht="17.25" customHeight="1">
      <c r="A36" s="121" t="s">
        <v>78</v>
      </c>
      <c r="B36" s="120" t="s">
        <v>88</v>
      </c>
      <c r="C36" s="93" t="s">
        <v>89</v>
      </c>
      <c r="D36" s="1800"/>
      <c r="E36" s="1800"/>
      <c r="F36" s="1800"/>
      <c r="G36" s="1800"/>
      <c r="H36" s="1804"/>
      <c r="I36" s="1806"/>
    </row>
    <row r="37" spans="1:9">
      <c r="A37" s="1795" t="s">
        <v>62</v>
      </c>
      <c r="B37" s="193" t="s">
        <v>238</v>
      </c>
      <c r="C37" s="192" t="s">
        <v>196</v>
      </c>
      <c r="D37" s="96"/>
      <c r="E37" s="96"/>
      <c r="F37" s="97"/>
      <c r="G37" s="97">
        <f>F37-D37</f>
        <v>0</v>
      </c>
      <c r="H37" s="164" t="e">
        <f>G37/D37*100</f>
        <v>#DIV/0!</v>
      </c>
      <c r="I37" s="8"/>
    </row>
    <row r="38" spans="1:9">
      <c r="A38" s="1795"/>
      <c r="B38" s="1782" t="s">
        <v>133</v>
      </c>
      <c r="C38" s="193" t="s">
        <v>207</v>
      </c>
      <c r="D38" s="16"/>
      <c r="E38" s="16"/>
      <c r="F38" s="17"/>
      <c r="G38" s="17">
        <f t="shared" ref="G38:G81" si="2">F38-D38</f>
        <v>0</v>
      </c>
      <c r="H38" s="218" t="e">
        <f t="shared" ref="H38:H81" si="3">G38/D38*100</f>
        <v>#DIV/0!</v>
      </c>
      <c r="I38" s="18"/>
    </row>
    <row r="39" spans="1:9">
      <c r="A39" s="1795"/>
      <c r="B39" s="1782"/>
      <c r="C39" s="193" t="s">
        <v>175</v>
      </c>
      <c r="D39" s="19"/>
      <c r="E39" s="19"/>
      <c r="F39" s="20"/>
      <c r="G39" s="17">
        <f t="shared" si="2"/>
        <v>0</v>
      </c>
      <c r="H39" s="218" t="e">
        <f t="shared" si="3"/>
        <v>#DIV/0!</v>
      </c>
      <c r="I39" s="18"/>
    </row>
    <row r="40" spans="1:9">
      <c r="A40" s="1795"/>
      <c r="B40" s="193" t="s">
        <v>213</v>
      </c>
      <c r="C40" s="193" t="s">
        <v>213</v>
      </c>
      <c r="D40" s="16"/>
      <c r="E40" s="16"/>
      <c r="F40" s="17"/>
      <c r="G40" s="17">
        <f t="shared" si="2"/>
        <v>0</v>
      </c>
      <c r="H40" s="218" t="e">
        <f t="shared" si="3"/>
        <v>#DIV/0!</v>
      </c>
      <c r="I40" s="18"/>
    </row>
    <row r="41" spans="1:9">
      <c r="A41" s="1795"/>
      <c r="B41" s="1782" t="s">
        <v>252</v>
      </c>
      <c r="C41" s="193" t="s">
        <v>200</v>
      </c>
      <c r="D41" s="16"/>
      <c r="E41" s="16"/>
      <c r="F41" s="17"/>
      <c r="G41" s="17">
        <f t="shared" si="2"/>
        <v>0</v>
      </c>
      <c r="H41" s="218" t="e">
        <f t="shared" si="3"/>
        <v>#DIV/0!</v>
      </c>
      <c r="I41" s="18"/>
    </row>
    <row r="42" spans="1:9" ht="34">
      <c r="A42" s="1795"/>
      <c r="B42" s="1782"/>
      <c r="C42" s="193" t="s">
        <v>98</v>
      </c>
      <c r="D42" s="16"/>
      <c r="E42" s="16"/>
      <c r="F42" s="20"/>
      <c r="G42" s="17">
        <f t="shared" si="2"/>
        <v>0</v>
      </c>
      <c r="H42" s="218" t="e">
        <f t="shared" si="3"/>
        <v>#DIV/0!</v>
      </c>
      <c r="I42" s="18"/>
    </row>
    <row r="43" spans="1:9">
      <c r="A43" s="1796"/>
      <c r="B43" s="1776" t="s">
        <v>71</v>
      </c>
      <c r="C43" s="1777"/>
      <c r="D43" s="127"/>
      <c r="E43" s="127"/>
      <c r="F43" s="127"/>
      <c r="G43" s="134">
        <f t="shared" si="2"/>
        <v>0</v>
      </c>
      <c r="H43" s="219" t="e">
        <f t="shared" si="3"/>
        <v>#DIV/0!</v>
      </c>
      <c r="I43" s="23"/>
    </row>
    <row r="44" spans="1:9">
      <c r="A44" s="1794" t="s">
        <v>77</v>
      </c>
      <c r="B44" s="1797" t="s">
        <v>223</v>
      </c>
      <c r="C44" s="211" t="s">
        <v>173</v>
      </c>
      <c r="D44" s="96"/>
      <c r="E44" s="96"/>
      <c r="F44" s="97"/>
      <c r="G44" s="97">
        <f t="shared" si="2"/>
        <v>0</v>
      </c>
      <c r="H44" s="164" t="e">
        <f t="shared" si="3"/>
        <v>#DIV/0!</v>
      </c>
      <c r="I44" s="8"/>
    </row>
    <row r="45" spans="1:9" ht="34">
      <c r="A45" s="1795"/>
      <c r="B45" s="1791"/>
      <c r="C45" s="195" t="s">
        <v>275</v>
      </c>
      <c r="D45" s="16"/>
      <c r="E45" s="16"/>
      <c r="F45" s="17"/>
      <c r="G45" s="17">
        <f t="shared" si="2"/>
        <v>0</v>
      </c>
      <c r="H45" s="218" t="e">
        <f t="shared" si="3"/>
        <v>#DIV/0!</v>
      </c>
      <c r="I45" s="18"/>
    </row>
    <row r="46" spans="1:9">
      <c r="A46" s="1795"/>
      <c r="B46" s="1791"/>
      <c r="C46" s="196" t="s">
        <v>70</v>
      </c>
      <c r="D46" s="16"/>
      <c r="E46" s="16"/>
      <c r="F46" s="17"/>
      <c r="G46" s="17">
        <f t="shared" si="2"/>
        <v>0</v>
      </c>
      <c r="H46" s="218" t="e">
        <f t="shared" si="3"/>
        <v>#DIV/0!</v>
      </c>
      <c r="I46" s="18"/>
    </row>
    <row r="47" spans="1:9">
      <c r="A47" s="1795"/>
      <c r="B47" s="1791"/>
      <c r="C47" s="196" t="s">
        <v>60</v>
      </c>
      <c r="D47" s="21"/>
      <c r="E47" s="21"/>
      <c r="F47" s="21"/>
      <c r="G47" s="17">
        <f t="shared" si="2"/>
        <v>0</v>
      </c>
      <c r="H47" s="218" t="e">
        <f t="shared" si="3"/>
        <v>#DIV/0!</v>
      </c>
      <c r="I47" s="22"/>
    </row>
    <row r="48" spans="1:9">
      <c r="A48" s="1795"/>
      <c r="B48" s="1791"/>
      <c r="C48" s="196" t="s">
        <v>68</v>
      </c>
      <c r="D48" s="32"/>
      <c r="E48" s="32"/>
      <c r="F48" s="21"/>
      <c r="G48" s="17">
        <f t="shared" si="2"/>
        <v>0</v>
      </c>
      <c r="H48" s="218" t="e">
        <f t="shared" si="3"/>
        <v>#DIV/0!</v>
      </c>
      <c r="I48" s="22"/>
    </row>
    <row r="49" spans="1:9">
      <c r="A49" s="1795"/>
      <c r="B49" s="1791"/>
      <c r="C49" s="191" t="s">
        <v>206</v>
      </c>
      <c r="D49" s="32"/>
      <c r="E49" s="32"/>
      <c r="F49" s="21"/>
      <c r="G49" s="17">
        <f t="shared" si="2"/>
        <v>0</v>
      </c>
      <c r="H49" s="218" t="e">
        <f t="shared" si="3"/>
        <v>#DIV/0!</v>
      </c>
      <c r="I49" s="22"/>
    </row>
    <row r="50" spans="1:9">
      <c r="A50" s="1795"/>
      <c r="B50" s="1791"/>
      <c r="C50" s="191" t="s">
        <v>151</v>
      </c>
      <c r="D50" s="32"/>
      <c r="E50" s="32"/>
      <c r="F50" s="21"/>
      <c r="G50" s="17">
        <f t="shared" si="2"/>
        <v>0</v>
      </c>
      <c r="H50" s="218" t="e">
        <f t="shared" si="3"/>
        <v>#DIV/0!</v>
      </c>
      <c r="I50" s="22"/>
    </row>
    <row r="51" spans="1:9">
      <c r="A51" s="1795"/>
      <c r="B51" s="1792"/>
      <c r="C51" s="212" t="s">
        <v>71</v>
      </c>
      <c r="D51" s="94"/>
      <c r="E51" s="94"/>
      <c r="F51" s="127"/>
      <c r="G51" s="134">
        <f t="shared" si="2"/>
        <v>0</v>
      </c>
      <c r="H51" s="219" t="e">
        <f t="shared" si="3"/>
        <v>#DIV/0!</v>
      </c>
      <c r="I51" s="23"/>
    </row>
    <row r="52" spans="1:9">
      <c r="A52" s="1795"/>
      <c r="B52" s="1791" t="s">
        <v>216</v>
      </c>
      <c r="C52" s="213" t="s">
        <v>193</v>
      </c>
      <c r="D52" s="32"/>
      <c r="E52" s="32"/>
      <c r="F52" s="220"/>
      <c r="G52" s="97">
        <f t="shared" si="2"/>
        <v>0</v>
      </c>
      <c r="H52" s="164" t="e">
        <f t="shared" si="3"/>
        <v>#DIV/0!</v>
      </c>
      <c r="I52" s="27"/>
    </row>
    <row r="53" spans="1:9">
      <c r="A53" s="1795"/>
      <c r="B53" s="1791"/>
      <c r="C53" s="213" t="s">
        <v>81</v>
      </c>
      <c r="D53" s="32"/>
      <c r="E53" s="32"/>
      <c r="F53" s="21"/>
      <c r="G53" s="17">
        <f t="shared" si="2"/>
        <v>0</v>
      </c>
      <c r="H53" s="218" t="e">
        <f t="shared" si="3"/>
        <v>#DIV/0!</v>
      </c>
      <c r="I53" s="22"/>
    </row>
    <row r="54" spans="1:9">
      <c r="A54" s="1795"/>
      <c r="B54" s="1791"/>
      <c r="C54" s="213" t="s">
        <v>83</v>
      </c>
      <c r="D54" s="32"/>
      <c r="E54" s="32"/>
      <c r="F54" s="21"/>
      <c r="G54" s="17">
        <f t="shared" si="2"/>
        <v>0</v>
      </c>
      <c r="H54" s="218" t="e">
        <f t="shared" si="3"/>
        <v>#DIV/0!</v>
      </c>
      <c r="I54" s="22"/>
    </row>
    <row r="55" spans="1:9">
      <c r="A55" s="1795"/>
      <c r="B55" s="1792"/>
      <c r="C55" s="214" t="s">
        <v>71</v>
      </c>
      <c r="D55" s="128"/>
      <c r="E55" s="128"/>
      <c r="F55" s="127"/>
      <c r="G55" s="134">
        <f t="shared" si="2"/>
        <v>0</v>
      </c>
      <c r="H55" s="219" t="e">
        <f t="shared" si="3"/>
        <v>#DIV/0!</v>
      </c>
      <c r="I55" s="23"/>
    </row>
    <row r="56" spans="1:9">
      <c r="A56" s="1796"/>
      <c r="B56" s="1788" t="s">
        <v>71</v>
      </c>
      <c r="C56" s="1789"/>
      <c r="D56" s="94"/>
      <c r="E56" s="94"/>
      <c r="F56" s="94"/>
      <c r="G56" s="97">
        <f t="shared" si="2"/>
        <v>0</v>
      </c>
      <c r="H56" s="164" t="e">
        <f t="shared" si="3"/>
        <v>#DIV/0!</v>
      </c>
      <c r="I56" s="95"/>
    </row>
    <row r="57" spans="1:9">
      <c r="A57" s="1794" t="s">
        <v>218</v>
      </c>
      <c r="B57" s="1797" t="s">
        <v>232</v>
      </c>
      <c r="C57" s="211" t="s">
        <v>114</v>
      </c>
      <c r="D57" s="96"/>
      <c r="E57" s="96"/>
      <c r="F57" s="97"/>
      <c r="G57" s="97">
        <f t="shared" si="2"/>
        <v>0</v>
      </c>
      <c r="H57" s="164" t="e">
        <f t="shared" si="3"/>
        <v>#DIV/0!</v>
      </c>
      <c r="I57" s="8"/>
    </row>
    <row r="58" spans="1:9">
      <c r="A58" s="1795"/>
      <c r="B58" s="1791"/>
      <c r="C58" s="195" t="s">
        <v>120</v>
      </c>
      <c r="D58" s="16"/>
      <c r="E58" s="16"/>
      <c r="F58" s="17"/>
      <c r="G58" s="17">
        <f t="shared" si="2"/>
        <v>0</v>
      </c>
      <c r="H58" s="218" t="e">
        <f t="shared" si="3"/>
        <v>#DIV/0!</v>
      </c>
      <c r="I58" s="18"/>
    </row>
    <row r="59" spans="1:9">
      <c r="A59" s="1795"/>
      <c r="B59" s="1791"/>
      <c r="C59" s="195" t="s">
        <v>92</v>
      </c>
      <c r="D59" s="16"/>
      <c r="E59" s="16"/>
      <c r="F59" s="17"/>
      <c r="G59" s="17">
        <f t="shared" si="2"/>
        <v>0</v>
      </c>
      <c r="H59" s="218" t="e">
        <f t="shared" si="3"/>
        <v>#DIV/0!</v>
      </c>
      <c r="I59" s="18"/>
    </row>
    <row r="60" spans="1:9">
      <c r="A60" s="1795"/>
      <c r="B60" s="1791"/>
      <c r="C60" s="196" t="s">
        <v>179</v>
      </c>
      <c r="D60" s="25"/>
      <c r="E60" s="25"/>
      <c r="F60" s="26"/>
      <c r="G60" s="17">
        <f t="shared" si="2"/>
        <v>0</v>
      </c>
      <c r="H60" s="218" t="e">
        <f t="shared" si="3"/>
        <v>#DIV/0!</v>
      </c>
      <c r="I60" s="18"/>
    </row>
    <row r="61" spans="1:9">
      <c r="A61" s="1795"/>
      <c r="B61" s="1798"/>
      <c r="C61" s="196" t="s">
        <v>115</v>
      </c>
      <c r="D61" s="25"/>
      <c r="E61" s="25"/>
      <c r="F61" s="13"/>
      <c r="G61" s="17">
        <f t="shared" si="2"/>
        <v>0</v>
      </c>
      <c r="H61" s="218" t="e">
        <f t="shared" si="3"/>
        <v>#DIV/0!</v>
      </c>
      <c r="I61" s="18"/>
    </row>
    <row r="62" spans="1:9">
      <c r="A62" s="1796"/>
      <c r="B62" s="1786" t="s">
        <v>71</v>
      </c>
      <c r="C62" s="1787"/>
      <c r="D62" s="129"/>
      <c r="E62" s="129"/>
      <c r="F62" s="108"/>
      <c r="G62" s="134">
        <f t="shared" si="2"/>
        <v>0</v>
      </c>
      <c r="H62" s="219" t="e">
        <f t="shared" si="3"/>
        <v>#DIV/0!</v>
      </c>
      <c r="I62" s="31"/>
    </row>
    <row r="63" spans="1:9">
      <c r="A63" s="1778" t="s">
        <v>217</v>
      </c>
      <c r="B63" s="192" t="s">
        <v>124</v>
      </c>
      <c r="C63" s="190" t="s">
        <v>172</v>
      </c>
      <c r="D63" s="130"/>
      <c r="E63" s="130"/>
      <c r="F63" s="131"/>
      <c r="G63" s="97">
        <f t="shared" si="2"/>
        <v>0</v>
      </c>
      <c r="H63" s="164" t="e">
        <f t="shared" si="3"/>
        <v>#DIV/0!</v>
      </c>
      <c r="I63" s="8"/>
    </row>
    <row r="64" spans="1:9">
      <c r="A64" s="1779"/>
      <c r="B64" s="193" t="s">
        <v>220</v>
      </c>
      <c r="C64" s="215" t="s">
        <v>104</v>
      </c>
      <c r="D64" s="122"/>
      <c r="E64" s="122"/>
      <c r="F64" s="26"/>
      <c r="G64" s="17">
        <f t="shared" si="2"/>
        <v>0</v>
      </c>
      <c r="H64" s="218" t="e">
        <f t="shared" si="3"/>
        <v>#DIV/0!</v>
      </c>
      <c r="I64" s="18"/>
    </row>
    <row r="65" spans="1:9">
      <c r="A65" s="1780"/>
      <c r="B65" s="1788" t="s">
        <v>71</v>
      </c>
      <c r="C65" s="1789"/>
      <c r="D65" s="94"/>
      <c r="E65" s="94"/>
      <c r="F65" s="127"/>
      <c r="G65" s="134">
        <f t="shared" si="2"/>
        <v>0</v>
      </c>
      <c r="H65" s="219" t="e">
        <f t="shared" si="3"/>
        <v>#DIV/0!</v>
      </c>
      <c r="I65" s="23"/>
    </row>
    <row r="66" spans="1:9">
      <c r="A66" s="1778" t="s">
        <v>230</v>
      </c>
      <c r="B66" s="1781" t="s">
        <v>90</v>
      </c>
      <c r="C66" s="192" t="s">
        <v>90</v>
      </c>
      <c r="D66" s="28"/>
      <c r="E66" s="28"/>
      <c r="F66" s="10"/>
      <c r="G66" s="97">
        <f t="shared" si="2"/>
        <v>0</v>
      </c>
      <c r="H66" s="164" t="e">
        <f t="shared" si="3"/>
        <v>#DIV/0!</v>
      </c>
      <c r="I66" s="8"/>
    </row>
    <row r="67" spans="1:9">
      <c r="A67" s="1779"/>
      <c r="B67" s="1782"/>
      <c r="C67" s="193" t="s">
        <v>202</v>
      </c>
      <c r="D67" s="29"/>
      <c r="E67" s="29"/>
      <c r="F67" s="13"/>
      <c r="G67" s="17">
        <f t="shared" si="2"/>
        <v>0</v>
      </c>
      <c r="H67" s="218" t="e">
        <f t="shared" si="3"/>
        <v>#DIV/0!</v>
      </c>
      <c r="I67" s="18"/>
    </row>
    <row r="68" spans="1:9">
      <c r="A68" s="1779"/>
      <c r="B68" s="1790"/>
      <c r="C68" s="216" t="s">
        <v>71</v>
      </c>
      <c r="D68" s="106"/>
      <c r="E68" s="106"/>
      <c r="F68" s="108"/>
      <c r="G68" s="134">
        <f t="shared" si="2"/>
        <v>0</v>
      </c>
      <c r="H68" s="219" t="e">
        <f t="shared" si="3"/>
        <v>#DIV/0!</v>
      </c>
      <c r="I68" s="31"/>
    </row>
    <row r="69" spans="1:9">
      <c r="A69" s="1779"/>
      <c r="B69" s="1791" t="s">
        <v>225</v>
      </c>
      <c r="C69" s="194" t="s">
        <v>147</v>
      </c>
      <c r="D69" s="132"/>
      <c r="E69" s="132"/>
      <c r="F69" s="33"/>
      <c r="G69" s="97">
        <f t="shared" si="2"/>
        <v>0</v>
      </c>
      <c r="H69" s="164" t="e">
        <f t="shared" si="3"/>
        <v>#DIV/0!</v>
      </c>
      <c r="I69" s="8"/>
    </row>
    <row r="70" spans="1:9">
      <c r="A70" s="1779"/>
      <c r="B70" s="1792"/>
      <c r="C70" s="216" t="s">
        <v>71</v>
      </c>
      <c r="D70" s="133"/>
      <c r="E70" s="133"/>
      <c r="F70" s="221"/>
      <c r="G70" s="134">
        <f t="shared" si="2"/>
        <v>0</v>
      </c>
      <c r="H70" s="219" t="e">
        <f t="shared" si="3"/>
        <v>#DIV/0!</v>
      </c>
      <c r="I70" s="31"/>
    </row>
    <row r="71" spans="1:9">
      <c r="A71" s="1780"/>
      <c r="B71" s="1793" t="s">
        <v>71</v>
      </c>
      <c r="C71" s="1793"/>
      <c r="D71" s="94"/>
      <c r="E71" s="94"/>
      <c r="F71" s="94"/>
      <c r="G71" s="97">
        <f t="shared" si="2"/>
        <v>0</v>
      </c>
      <c r="H71" s="164" t="e">
        <f t="shared" si="3"/>
        <v>#DIV/0!</v>
      </c>
      <c r="I71" s="95"/>
    </row>
    <row r="72" spans="1:9">
      <c r="A72" s="1779" t="s">
        <v>191</v>
      </c>
      <c r="B72" s="217" t="s">
        <v>191</v>
      </c>
      <c r="C72" s="217" t="s">
        <v>191</v>
      </c>
      <c r="D72" s="124"/>
      <c r="E72" s="124"/>
      <c r="F72" s="98"/>
      <c r="G72" s="97">
        <f t="shared" si="2"/>
        <v>0</v>
      </c>
      <c r="H72" s="164" t="e">
        <f t="shared" si="3"/>
        <v>#DIV/0!</v>
      </c>
      <c r="I72" s="27"/>
    </row>
    <row r="73" spans="1:9">
      <c r="A73" s="1780"/>
      <c r="B73" s="1776" t="s">
        <v>71</v>
      </c>
      <c r="C73" s="1777"/>
      <c r="D73" s="34"/>
      <c r="E73" s="34"/>
      <c r="F73" s="34"/>
      <c r="G73" s="134">
        <f t="shared" si="2"/>
        <v>0</v>
      </c>
      <c r="H73" s="219" t="e">
        <f t="shared" si="3"/>
        <v>#DIV/0!</v>
      </c>
      <c r="I73" s="23"/>
    </row>
    <row r="74" spans="1:9">
      <c r="A74" s="1778" t="s">
        <v>80</v>
      </c>
      <c r="B74" s="197" t="s">
        <v>80</v>
      </c>
      <c r="C74" s="197" t="s">
        <v>80</v>
      </c>
      <c r="D74" s="37"/>
      <c r="E74" s="37"/>
      <c r="F74" s="35"/>
      <c r="G74" s="97">
        <f t="shared" si="2"/>
        <v>0</v>
      </c>
      <c r="H74" s="164" t="e">
        <f t="shared" si="3"/>
        <v>#DIV/0!</v>
      </c>
      <c r="I74" s="36"/>
    </row>
    <row r="75" spans="1:9">
      <c r="A75" s="1780"/>
      <c r="B75" s="1776" t="s">
        <v>71</v>
      </c>
      <c r="C75" s="1777"/>
      <c r="D75" s="24"/>
      <c r="E75" s="24"/>
      <c r="F75" s="99"/>
      <c r="G75" s="134">
        <f t="shared" si="2"/>
        <v>0</v>
      </c>
      <c r="H75" s="219" t="e">
        <f t="shared" si="3"/>
        <v>#DIV/0!</v>
      </c>
      <c r="I75" s="100"/>
    </row>
    <row r="76" spans="1:9">
      <c r="A76" s="1778" t="s">
        <v>131</v>
      </c>
      <c r="B76" s="1781" t="s">
        <v>131</v>
      </c>
      <c r="C76" s="192" t="s">
        <v>79</v>
      </c>
      <c r="D76" s="38"/>
      <c r="E76" s="38"/>
      <c r="F76" s="39"/>
      <c r="G76" s="97">
        <f t="shared" si="2"/>
        <v>0</v>
      </c>
      <c r="H76" s="164" t="e">
        <f t="shared" si="3"/>
        <v>#DIV/0!</v>
      </c>
      <c r="I76" s="8"/>
    </row>
    <row r="77" spans="1:9">
      <c r="A77" s="1779"/>
      <c r="B77" s="1782"/>
      <c r="C77" s="192" t="s">
        <v>63</v>
      </c>
      <c r="D77" s="40"/>
      <c r="E77" s="40"/>
      <c r="F77" s="39"/>
      <c r="G77" s="97">
        <f t="shared" si="2"/>
        <v>0</v>
      </c>
      <c r="H77" s="164" t="e">
        <f t="shared" si="3"/>
        <v>#DIV/0!</v>
      </c>
      <c r="I77" s="8"/>
    </row>
    <row r="78" spans="1:9">
      <c r="A78" s="1780"/>
      <c r="B78" s="1788" t="s">
        <v>71</v>
      </c>
      <c r="C78" s="1789"/>
      <c r="D78" s="94"/>
      <c r="E78" s="94"/>
      <c r="F78" s="127"/>
      <c r="G78" s="134">
        <f t="shared" si="2"/>
        <v>0</v>
      </c>
      <c r="H78" s="219" t="e">
        <f t="shared" si="3"/>
        <v>#DIV/0!</v>
      </c>
      <c r="I78" s="23"/>
    </row>
    <row r="79" spans="1:9">
      <c r="A79" s="1778" t="s">
        <v>165</v>
      </c>
      <c r="B79" s="198" t="s">
        <v>165</v>
      </c>
      <c r="C79" s="198" t="s">
        <v>160</v>
      </c>
      <c r="D79" s="38"/>
      <c r="E79" s="38"/>
      <c r="F79" s="7"/>
      <c r="G79" s="97">
        <f t="shared" si="2"/>
        <v>0</v>
      </c>
      <c r="H79" s="164" t="e">
        <f t="shared" si="3"/>
        <v>#DIV/0!</v>
      </c>
      <c r="I79" s="9"/>
    </row>
    <row r="80" spans="1:9">
      <c r="A80" s="1780"/>
      <c r="B80" s="1878" t="s">
        <v>71</v>
      </c>
      <c r="C80" s="1878"/>
      <c r="D80" s="30"/>
      <c r="E80" s="30"/>
      <c r="F80" s="30"/>
      <c r="G80" s="134">
        <f t="shared" si="2"/>
        <v>0</v>
      </c>
      <c r="H80" s="219" t="e">
        <f t="shared" si="3"/>
        <v>#DIV/0!</v>
      </c>
      <c r="I80" s="31"/>
    </row>
    <row r="81" spans="1:9">
      <c r="A81" s="1768" t="s">
        <v>76</v>
      </c>
      <c r="B81" s="1769"/>
      <c r="C81" s="1770"/>
      <c r="D81" s="165">
        <f>SUM(D43,D56,D62,D65,D71,D73,D75,D78,D80)</f>
        <v>0</v>
      </c>
      <c r="E81" s="165"/>
      <c r="F81" s="165">
        <f>SUM(F43,F56,F62,F65,F71,F73,F75,F78,F80)</f>
        <v>0</v>
      </c>
      <c r="G81" s="167">
        <f t="shared" si="2"/>
        <v>0</v>
      </c>
      <c r="H81" s="168" t="e">
        <f t="shared" si="3"/>
        <v>#DIV/0!</v>
      </c>
      <c r="I81" s="166"/>
    </row>
  </sheetData>
  <mergeCells count="67"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  <mergeCell ref="A27:A29"/>
    <mergeCell ref="B62:C62"/>
    <mergeCell ref="A63:A65"/>
    <mergeCell ref="B44:B51"/>
    <mergeCell ref="B52:B55"/>
    <mergeCell ref="B65:C65"/>
    <mergeCell ref="A44:A56"/>
    <mergeCell ref="B57:B61"/>
    <mergeCell ref="A57:A62"/>
    <mergeCell ref="B27:B28"/>
    <mergeCell ref="B29:C29"/>
    <mergeCell ref="A33:C33"/>
    <mergeCell ref="A34:I34"/>
    <mergeCell ref="A35:C35"/>
    <mergeCell ref="D35:D36"/>
    <mergeCell ref="F35:F36"/>
    <mergeCell ref="B75:C75"/>
    <mergeCell ref="H35:H36"/>
    <mergeCell ref="A76:A78"/>
    <mergeCell ref="B76:B77"/>
    <mergeCell ref="B10:C10"/>
    <mergeCell ref="A14:A20"/>
    <mergeCell ref="B20:C20"/>
    <mergeCell ref="A30:A32"/>
    <mergeCell ref="B30:B31"/>
    <mergeCell ref="A21:A22"/>
    <mergeCell ref="B22:C22"/>
    <mergeCell ref="B26:C26"/>
    <mergeCell ref="A8:A10"/>
    <mergeCell ref="B32:C32"/>
    <mergeCell ref="B13:C13"/>
    <mergeCell ref="A11:A13"/>
    <mergeCell ref="I35:I36"/>
    <mergeCell ref="B69:B70"/>
    <mergeCell ref="B66:B68"/>
    <mergeCell ref="B8:B9"/>
    <mergeCell ref="B24:C24"/>
    <mergeCell ref="G35:G36"/>
    <mergeCell ref="B16:B19"/>
    <mergeCell ref="B14:B15"/>
    <mergeCell ref="A23:A24"/>
    <mergeCell ref="A81:C81"/>
    <mergeCell ref="E35:E36"/>
    <mergeCell ref="A79:A80"/>
    <mergeCell ref="B80:C80"/>
    <mergeCell ref="B38:B39"/>
    <mergeCell ref="B41:B42"/>
    <mergeCell ref="B43:C43"/>
    <mergeCell ref="A74:A75"/>
    <mergeCell ref="B78:C78"/>
    <mergeCell ref="A66:A71"/>
    <mergeCell ref="B71:C71"/>
    <mergeCell ref="B56:C56"/>
    <mergeCell ref="A37:A43"/>
    <mergeCell ref="A72:A73"/>
    <mergeCell ref="B73:C73"/>
  </mergeCells>
  <phoneticPr fontId="25" type="noConversion"/>
  <pageMargins left="0.69972223043441772" right="0.69972223043441772" top="0.75" bottom="0.75" header="0.30000001192092896" footer="0.300000011920928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2:I123"/>
  <sheetViews>
    <sheetView topLeftCell="A99" zoomScale="85" zoomScaleNormal="85" zoomScaleSheetLayoutView="75" workbookViewId="0">
      <selection activeCell="E125" sqref="E125"/>
    </sheetView>
  </sheetViews>
  <sheetFormatPr defaultColWidth="8.58203125" defaultRowHeight="17"/>
  <cols>
    <col min="1" max="1" width="14.5" style="1557" customWidth="1"/>
    <col min="2" max="2" width="13.33203125" style="1557" customWidth="1"/>
    <col min="3" max="3" width="22.58203125" style="1557" customWidth="1"/>
    <col min="4" max="4" width="18.25" style="1557" customWidth="1"/>
    <col min="5" max="5" width="17.83203125" style="1557" customWidth="1"/>
    <col min="6" max="6" width="17.75" style="1557" customWidth="1"/>
    <col min="7" max="7" width="17.83203125" style="1557" customWidth="1"/>
    <col min="8" max="8" width="9.58203125" style="1557" bestFit="1" customWidth="1"/>
    <col min="9" max="9" width="45.25" style="1557" customWidth="1"/>
    <col min="10" max="16384" width="8.58203125" style="1557"/>
  </cols>
  <sheetData>
    <row r="2" spans="1:9" ht="30" customHeight="1">
      <c r="A2" s="2145" t="s">
        <v>262</v>
      </c>
      <c r="B2" s="2146"/>
      <c r="C2" s="2146"/>
      <c r="D2" s="2146"/>
      <c r="E2" s="2146"/>
      <c r="F2" s="2146"/>
      <c r="G2" s="2146"/>
      <c r="H2" s="2146"/>
      <c r="I2" s="2146"/>
    </row>
    <row r="3" spans="1:9">
      <c r="A3" s="2147" t="s">
        <v>323</v>
      </c>
      <c r="B3" s="2147"/>
      <c r="C3" s="2147"/>
      <c r="D3" s="2147"/>
      <c r="E3" s="2147"/>
      <c r="F3" s="2147"/>
      <c r="G3" s="2147"/>
      <c r="H3" s="2147"/>
      <c r="I3" s="2147"/>
    </row>
    <row r="4" spans="1:9" ht="21.75" customHeight="1">
      <c r="A4" s="2147"/>
      <c r="B4" s="2147"/>
      <c r="C4" s="2147"/>
      <c r="D4" s="2147"/>
      <c r="E4" s="2147"/>
      <c r="F4" s="2147"/>
      <c r="G4" s="2147"/>
      <c r="H4" s="2147"/>
      <c r="I4" s="2147"/>
    </row>
    <row r="5" spans="1:9" ht="17.5" thickBot="1">
      <c r="A5" s="2148" t="s">
        <v>28</v>
      </c>
      <c r="B5" s="2148"/>
      <c r="C5" s="2148"/>
      <c r="D5" s="2148"/>
      <c r="E5" s="2148"/>
      <c r="F5" s="2148"/>
      <c r="G5" s="2148"/>
      <c r="H5" s="2148"/>
      <c r="I5" s="2148"/>
    </row>
    <row r="6" spans="1:9" ht="17.5" customHeight="1">
      <c r="A6" s="2149" t="s">
        <v>82</v>
      </c>
      <c r="B6" s="2150"/>
      <c r="C6" s="2150"/>
      <c r="D6" s="2151" t="s">
        <v>283</v>
      </c>
      <c r="E6" s="2151" t="s">
        <v>324</v>
      </c>
      <c r="F6" s="2151" t="s">
        <v>44</v>
      </c>
      <c r="G6" s="2151" t="s">
        <v>108</v>
      </c>
      <c r="H6" s="2153" t="s">
        <v>186</v>
      </c>
      <c r="I6" s="2155" t="s">
        <v>146</v>
      </c>
    </row>
    <row r="7" spans="1:9" ht="18" customHeight="1" thickBot="1">
      <c r="A7" s="1412" t="s">
        <v>78</v>
      </c>
      <c r="B7" s="1413" t="s">
        <v>88</v>
      </c>
      <c r="C7" s="1413" t="s">
        <v>89</v>
      </c>
      <c r="D7" s="2152"/>
      <c r="E7" s="2152"/>
      <c r="F7" s="2152"/>
      <c r="G7" s="2152"/>
      <c r="H7" s="2154"/>
      <c r="I7" s="2156"/>
    </row>
    <row r="8" spans="1:9" ht="16.5" customHeight="1">
      <c r="A8" s="2157" t="s">
        <v>285</v>
      </c>
      <c r="B8" s="2159" t="s">
        <v>136</v>
      </c>
      <c r="C8" s="1414" t="s">
        <v>141</v>
      </c>
      <c r="D8" s="1415"/>
      <c r="E8" s="1415"/>
      <c r="F8" s="1415"/>
      <c r="G8" s="1416">
        <f>F8-D8</f>
        <v>0</v>
      </c>
      <c r="H8" s="1608"/>
      <c r="I8" s="1418"/>
    </row>
    <row r="9" spans="1:9" ht="16.5" customHeight="1">
      <c r="A9" s="2157"/>
      <c r="B9" s="2159"/>
      <c r="C9" s="1419" t="s">
        <v>239</v>
      </c>
      <c r="D9" s="1609">
        <f>'5-1.은학의집(재가복지)'!D9+'5-2은학의집(요양시설)'!D9</f>
        <v>372924504</v>
      </c>
      <c r="E9" s="1609">
        <f>'5-1.은학의집(재가복지)'!E9+'5-2은학의집(요양시설)'!E9</f>
        <v>154865550</v>
      </c>
      <c r="F9" s="1609">
        <f>'5-1.은학의집(재가복지)'!F9+'5-2은학의집(요양시설)'!F9</f>
        <v>158296776</v>
      </c>
      <c r="G9" s="1610">
        <f t="shared" ref="G9:G20" si="0">F9-D9</f>
        <v>-214627728</v>
      </c>
      <c r="H9" s="1611">
        <f t="shared" ref="H9:H48" si="1">G9/D9*100%</f>
        <v>-0.57552594613090913</v>
      </c>
      <c r="I9" s="1612" t="s">
        <v>325</v>
      </c>
    </row>
    <row r="10" spans="1:9" ht="16.5" customHeight="1">
      <c r="A10" s="2157"/>
      <c r="B10" s="2159"/>
      <c r="C10" s="1419" t="s">
        <v>187</v>
      </c>
      <c r="D10" s="1609">
        <f>'5-1.은학의집(재가복지)'!D10+'5-2은학의집(요양시설)'!D10</f>
        <v>193872500</v>
      </c>
      <c r="E10" s="1609">
        <f>'5-1.은학의집(재가복지)'!E10+'5-2은학의집(요양시설)'!E10</f>
        <v>87278130</v>
      </c>
      <c r="F10" s="1609">
        <f>'5-1.은학의집(재가복지)'!F10+'5-2은학의집(요양시설)'!F10</f>
        <v>87451500</v>
      </c>
      <c r="G10" s="1610">
        <f t="shared" si="0"/>
        <v>-106421000</v>
      </c>
      <c r="H10" s="1611">
        <f t="shared" si="1"/>
        <v>-0.5489226166681711</v>
      </c>
      <c r="I10" s="1612" t="s">
        <v>325</v>
      </c>
    </row>
    <row r="11" spans="1:9" ht="16.5" customHeight="1">
      <c r="A11" s="2157"/>
      <c r="B11" s="2159"/>
      <c r="C11" s="1419" t="s">
        <v>208</v>
      </c>
      <c r="D11" s="1609">
        <f>'5-1.은학의집(재가복지)'!D11+'5-2은학의집(요양시설)'!D11</f>
        <v>34800000</v>
      </c>
      <c r="E11" s="1609">
        <f>'5-1.은학의집(재가복지)'!E11+'5-2은학의집(요양시설)'!E11</f>
        <v>17060760</v>
      </c>
      <c r="F11" s="1609">
        <f>'5-1.은학의집(재가복지)'!F11+'5-2은학의집(요양시설)'!F11</f>
        <v>17200000</v>
      </c>
      <c r="G11" s="1610">
        <f t="shared" si="0"/>
        <v>-17600000</v>
      </c>
      <c r="H11" s="1611">
        <f t="shared" si="1"/>
        <v>-0.50574712643678166</v>
      </c>
      <c r="I11" s="1612" t="s">
        <v>326</v>
      </c>
    </row>
    <row r="12" spans="1:9" ht="16.5" customHeight="1">
      <c r="A12" s="2157"/>
      <c r="B12" s="2160"/>
      <c r="C12" s="1419" t="s">
        <v>204</v>
      </c>
      <c r="D12" s="1609">
        <f>'5-1.은학의집(재가복지)'!D12+'5-2은학의집(요양시설)'!D12</f>
        <v>4000000</v>
      </c>
      <c r="E12" s="1609">
        <f>'5-1.은학의집(재가복지)'!E12+'5-2은학의집(요양시설)'!E12</f>
        <v>5540570</v>
      </c>
      <c r="F12" s="1609">
        <f>'5-1.은학의집(재가복지)'!F12+'5-2은학의집(요양시설)'!F12</f>
        <v>5700000</v>
      </c>
      <c r="G12" s="1610">
        <f t="shared" si="0"/>
        <v>1700000</v>
      </c>
      <c r="H12" s="1611">
        <f t="shared" si="1"/>
        <v>0.42499999999999999</v>
      </c>
      <c r="I12" s="1612" t="s">
        <v>327</v>
      </c>
    </row>
    <row r="13" spans="1:9" ht="16.5" customHeight="1" thickBot="1">
      <c r="A13" s="2158"/>
      <c r="B13" s="2161" t="s">
        <v>71</v>
      </c>
      <c r="C13" s="2161"/>
      <c r="D13" s="1423">
        <f>SUM(D8:D12)</f>
        <v>605597004</v>
      </c>
      <c r="E13" s="1423">
        <f t="shared" ref="E13:F13" si="2">SUM(E8:E12)</f>
        <v>264745010</v>
      </c>
      <c r="F13" s="1423">
        <f t="shared" si="2"/>
        <v>268648276</v>
      </c>
      <c r="G13" s="1613">
        <f t="shared" si="0"/>
        <v>-336948728</v>
      </c>
      <c r="H13" s="1424">
        <f t="shared" si="1"/>
        <v>-0.5563910088300239</v>
      </c>
      <c r="I13" s="1425"/>
    </row>
    <row r="14" spans="1:9" ht="16.5" customHeight="1">
      <c r="A14" s="2162" t="s">
        <v>164</v>
      </c>
      <c r="B14" s="2159" t="s">
        <v>164</v>
      </c>
      <c r="C14" s="1414" t="s">
        <v>106</v>
      </c>
      <c r="D14" s="1609">
        <f>'5-1.은학의집(재가복지)'!D14+'5-2은학의집(요양시설)'!D14</f>
        <v>0</v>
      </c>
      <c r="E14" s="1609">
        <f>'5-1.은학의집(재가복지)'!E14+'5-2은학의집(요양시설)'!E14</f>
        <v>0</v>
      </c>
      <c r="F14" s="1609">
        <f>'5-1.은학의집(재가복지)'!F14+'5-2은학의집(요양시설)'!F14</f>
        <v>0</v>
      </c>
      <c r="G14" s="1416">
        <f t="shared" si="0"/>
        <v>0</v>
      </c>
      <c r="H14" s="1608"/>
      <c r="I14" s="1426"/>
    </row>
    <row r="15" spans="1:9" ht="16.5" customHeight="1">
      <c r="A15" s="2162"/>
      <c r="B15" s="2159"/>
      <c r="C15" s="1419" t="s">
        <v>111</v>
      </c>
      <c r="D15" s="1609">
        <f>'5-1.은학의집(재가복지)'!D15+'5-2은학의집(요양시설)'!D15</f>
        <v>0</v>
      </c>
      <c r="E15" s="1609">
        <f>'5-1.은학의집(재가복지)'!E15+'5-2은학의집(요양시설)'!E15</f>
        <v>0</v>
      </c>
      <c r="F15" s="1609">
        <f>'5-1.은학의집(재가복지)'!F15+'5-2은학의집(요양시설)'!F15</f>
        <v>0</v>
      </c>
      <c r="G15" s="1416">
        <f t="shared" si="0"/>
        <v>0</v>
      </c>
      <c r="H15" s="1608"/>
      <c r="I15" s="1428"/>
    </row>
    <row r="16" spans="1:9" ht="16.5" customHeight="1">
      <c r="A16" s="2162"/>
      <c r="B16" s="2159"/>
      <c r="C16" s="1419" t="s">
        <v>117</v>
      </c>
      <c r="D16" s="1609">
        <f>'5-1.은학의집(재가복지)'!D16+'5-2은학의집(요양시설)'!D16</f>
        <v>0</v>
      </c>
      <c r="E16" s="1609">
        <f>'5-1.은학의집(재가복지)'!E16+'5-2은학의집(요양시설)'!E16</f>
        <v>0</v>
      </c>
      <c r="F16" s="1609">
        <f>'5-1.은학의집(재가복지)'!F16+'5-2은학의집(요양시설)'!F16</f>
        <v>0</v>
      </c>
      <c r="G16" s="1416">
        <f t="shared" si="0"/>
        <v>0</v>
      </c>
      <c r="H16" s="1608"/>
      <c r="I16" s="1428"/>
    </row>
    <row r="17" spans="1:9" ht="16.5" customHeight="1">
      <c r="A17" s="2162"/>
      <c r="B17" s="2159"/>
      <c r="C17" s="1419" t="s">
        <v>112</v>
      </c>
      <c r="D17" s="1609">
        <f>'5-1.은학의집(재가복지)'!D17+'5-2은학의집(요양시설)'!D17</f>
        <v>0</v>
      </c>
      <c r="E17" s="1609">
        <f>'5-1.은학의집(재가복지)'!E17+'5-2은학의집(요양시설)'!E17</f>
        <v>0</v>
      </c>
      <c r="F17" s="1609">
        <f>'5-1.은학의집(재가복지)'!F17+'5-2은학의집(요양시설)'!F17</f>
        <v>0</v>
      </c>
      <c r="G17" s="1416">
        <f t="shared" si="0"/>
        <v>0</v>
      </c>
      <c r="H17" s="1608"/>
      <c r="I17" s="1428"/>
    </row>
    <row r="18" spans="1:9" ht="16.5" customHeight="1">
      <c r="A18" s="2162"/>
      <c r="B18" s="2159"/>
      <c r="C18" s="1414" t="s">
        <v>190</v>
      </c>
      <c r="D18" s="1609">
        <f>'5-1.은학의집(재가복지)'!D18+'5-2은학의집(요양시설)'!D18</f>
        <v>375000</v>
      </c>
      <c r="E18" s="1609">
        <f>'5-1.은학의집(재가복지)'!E18+'5-2은학의집(요양시설)'!E18</f>
        <v>315000</v>
      </c>
      <c r="F18" s="1609">
        <f>'5-1.은학의집(재가복지)'!F18+'5-2은학의집(요양시설)'!F18</f>
        <v>318000</v>
      </c>
      <c r="G18" s="1610">
        <f t="shared" si="0"/>
        <v>-57000</v>
      </c>
      <c r="H18" s="1611">
        <f t="shared" si="1"/>
        <v>-0.152</v>
      </c>
      <c r="I18" s="1612" t="s">
        <v>328</v>
      </c>
    </row>
    <row r="19" spans="1:9" ht="16.5" customHeight="1">
      <c r="A19" s="2162"/>
      <c r="B19" s="2159"/>
      <c r="C19" s="1429" t="s">
        <v>214</v>
      </c>
      <c r="D19" s="1609">
        <f>'5-1.은학의집(재가복지)'!D19+'5-2은학의집(요양시설)'!D19</f>
        <v>0</v>
      </c>
      <c r="E19" s="1609">
        <f>'5-1.은학의집(재가복지)'!E19+'5-2은학의집(요양시설)'!E19</f>
        <v>0</v>
      </c>
      <c r="F19" s="1609">
        <f>'5-1.은학의집(재가복지)'!F19+'5-2은학의집(요양시설)'!F19</f>
        <v>0</v>
      </c>
      <c r="G19" s="1416">
        <f t="shared" si="0"/>
        <v>0</v>
      </c>
      <c r="H19" s="1608"/>
      <c r="I19" s="1422"/>
    </row>
    <row r="20" spans="1:9" ht="16.5" customHeight="1">
      <c r="A20" s="2162"/>
      <c r="B20" s="2159"/>
      <c r="C20" s="1429" t="s">
        <v>183</v>
      </c>
      <c r="D20" s="1609">
        <f>'5-1.은학의집(재가복지)'!D20+'5-2은학의집(요양시설)'!D20</f>
        <v>0</v>
      </c>
      <c r="E20" s="1609">
        <f>'5-1.은학의집(재가복지)'!E20+'5-2은학의집(요양시설)'!E20</f>
        <v>0</v>
      </c>
      <c r="F20" s="1609">
        <f>'5-1.은학의집(재가복지)'!F20+'5-2은학의집(요양시설)'!F20</f>
        <v>0</v>
      </c>
      <c r="G20" s="1416">
        <f t="shared" si="0"/>
        <v>0</v>
      </c>
      <c r="H20" s="1608"/>
      <c r="I20" s="1422"/>
    </row>
    <row r="21" spans="1:9" ht="16.5" customHeight="1">
      <c r="A21" s="2162"/>
      <c r="B21" s="2160"/>
      <c r="C21" s="1429" t="s">
        <v>195</v>
      </c>
      <c r="D21" s="1609">
        <f>'5-1.은학의집(재가복지)'!D21+'5-2은학의집(요양시설)'!D21</f>
        <v>0</v>
      </c>
      <c r="E21" s="1609">
        <f>'5-1.은학의집(재가복지)'!E21+'5-2은학의집(요양시설)'!E21</f>
        <v>0</v>
      </c>
      <c r="F21" s="1609">
        <f>'5-1.은학의집(재가복지)'!F21+'5-2은학의집(요양시설)'!F21</f>
        <v>0</v>
      </c>
      <c r="G21" s="1431">
        <f>F21-D21</f>
        <v>0</v>
      </c>
      <c r="H21" s="1608"/>
      <c r="I21" s="1432"/>
    </row>
    <row r="22" spans="1:9" ht="16.5" customHeight="1" thickBot="1">
      <c r="A22" s="2163"/>
      <c r="B22" s="2164" t="s">
        <v>71</v>
      </c>
      <c r="C22" s="2165"/>
      <c r="D22" s="1478">
        <f>SUM(D14:D21)</f>
        <v>375000</v>
      </c>
      <c r="E22" s="1478">
        <f t="shared" ref="E22:F22" si="3">SUM(E14:E21)</f>
        <v>315000</v>
      </c>
      <c r="F22" s="1478">
        <f t="shared" si="3"/>
        <v>318000</v>
      </c>
      <c r="G22" s="1614">
        <f t="shared" ref="G22:G49" si="4">F22-D22</f>
        <v>-57000</v>
      </c>
      <c r="H22" s="1457">
        <f t="shared" si="1"/>
        <v>-0.152</v>
      </c>
      <c r="I22" s="1436"/>
    </row>
    <row r="23" spans="1:9" ht="16.5" customHeight="1">
      <c r="A23" s="2166" t="s">
        <v>197</v>
      </c>
      <c r="B23" s="2169" t="s">
        <v>197</v>
      </c>
      <c r="C23" s="1437" t="s">
        <v>211</v>
      </c>
      <c r="D23" s="1609">
        <f>'5-1.은학의집(재가복지)'!D23+'5-2은학의집(요양시설)'!D23</f>
        <v>0</v>
      </c>
      <c r="E23" s="1609">
        <f>'5-1.은학의집(재가복지)'!E23+'5-2은학의집(요양시설)'!E23</f>
        <v>0</v>
      </c>
      <c r="F23" s="1609">
        <f>'5-1.은학의집(재가복지)'!F23+'5-2은학의집(요양시설)'!F23</f>
        <v>0</v>
      </c>
      <c r="G23" s="1439">
        <f t="shared" si="4"/>
        <v>0</v>
      </c>
      <c r="H23" s="1608"/>
      <c r="I23" s="1440"/>
    </row>
    <row r="24" spans="1:9" ht="16.5" customHeight="1">
      <c r="A24" s="2167"/>
      <c r="B24" s="2159"/>
      <c r="C24" s="1419" t="s">
        <v>166</v>
      </c>
      <c r="D24" s="1609">
        <f>'5-1.은학의집(재가복지)'!D24+'5-2은학의집(요양시설)'!D24</f>
        <v>0</v>
      </c>
      <c r="E24" s="1609">
        <f>'5-1.은학의집(재가복지)'!E24+'5-2은학의집(요양시설)'!E24</f>
        <v>0</v>
      </c>
      <c r="F24" s="1609">
        <f>'5-1.은학의집(재가복지)'!F24+'5-2은학의집(요양시설)'!F24</f>
        <v>0</v>
      </c>
      <c r="G24" s="1442">
        <f t="shared" si="4"/>
        <v>0</v>
      </c>
      <c r="H24" s="1608"/>
      <c r="I24" s="1443"/>
    </row>
    <row r="25" spans="1:9" ht="16.5" customHeight="1">
      <c r="A25" s="2167"/>
      <c r="B25" s="2159"/>
      <c r="C25" s="1419" t="s">
        <v>163</v>
      </c>
      <c r="D25" s="1609">
        <f>'5-1.은학의집(재가복지)'!D25+'5-2은학의집(요양시설)'!D25</f>
        <v>5018740</v>
      </c>
      <c r="E25" s="1609">
        <f>'5-1.은학의집(재가복지)'!E25+'5-2은학의집(요양시설)'!E25</f>
        <v>1069710</v>
      </c>
      <c r="F25" s="1609">
        <f>'5-1.은학의집(재가복지)'!F25+'5-2은학의집(요양시설)'!F25</f>
        <v>1069710</v>
      </c>
      <c r="G25" s="1442">
        <f t="shared" si="4"/>
        <v>-3949030</v>
      </c>
      <c r="H25" s="1608">
        <f t="shared" si="1"/>
        <v>-0.78685686048689507</v>
      </c>
      <c r="I25" s="1615" t="s">
        <v>329</v>
      </c>
    </row>
    <row r="26" spans="1:9" ht="16.5" customHeight="1">
      <c r="A26" s="2167"/>
      <c r="B26" s="2160"/>
      <c r="C26" s="1419" t="s">
        <v>177</v>
      </c>
      <c r="D26" s="1609">
        <f>'5-1.은학의집(재가복지)'!D26+'5-2은학의집(요양시설)'!D26</f>
        <v>0</v>
      </c>
      <c r="E26" s="1609">
        <f>'5-1.은학의집(재가복지)'!E26+'5-2은학의집(요양시설)'!E26</f>
        <v>0</v>
      </c>
      <c r="F26" s="1609">
        <f>'5-1.은학의집(재가복지)'!F26+'5-2은학의집(요양시설)'!F26</f>
        <v>0</v>
      </c>
      <c r="G26" s="1442">
        <f t="shared" si="4"/>
        <v>0</v>
      </c>
      <c r="H26" s="1608"/>
      <c r="I26" s="1443"/>
    </row>
    <row r="27" spans="1:9" ht="16.5" customHeight="1" thickBot="1">
      <c r="A27" s="2168"/>
      <c r="B27" s="2170" t="s">
        <v>71</v>
      </c>
      <c r="C27" s="2171"/>
      <c r="D27" s="1445">
        <f>SUM(D23:D26)</f>
        <v>5018740</v>
      </c>
      <c r="E27" s="1445">
        <f t="shared" ref="E27:F27" si="5">SUM(E23:E26)</f>
        <v>1069710</v>
      </c>
      <c r="F27" s="1445">
        <f t="shared" si="5"/>
        <v>1069710</v>
      </c>
      <c r="G27" s="1446">
        <f t="shared" si="4"/>
        <v>-3949030</v>
      </c>
      <c r="H27" s="1447">
        <f t="shared" si="1"/>
        <v>-0.78685686048689507</v>
      </c>
      <c r="I27" s="1448"/>
    </row>
    <row r="28" spans="1:9" ht="16.5" customHeight="1">
      <c r="A28" s="2172" t="s">
        <v>229</v>
      </c>
      <c r="B28" s="2160" t="s">
        <v>229</v>
      </c>
      <c r="C28" s="1449" t="s">
        <v>162</v>
      </c>
      <c r="D28" s="1609">
        <f>'5-1.은학의집(재가복지)'!D28+'5-2은학의집(요양시설)'!D28</f>
        <v>3000000</v>
      </c>
      <c r="E28" s="1609">
        <f>'5-1.은학의집(재가복지)'!E28+'5-2은학의집(요양시설)'!E28</f>
        <v>2050000</v>
      </c>
      <c r="F28" s="1609">
        <f>'5-1.은학의집(재가복지)'!F28+'5-2은학의집(요양시설)'!F28</f>
        <v>2050000</v>
      </c>
      <c r="G28" s="1431">
        <f t="shared" si="4"/>
        <v>-950000</v>
      </c>
      <c r="H28" s="1608">
        <f t="shared" si="1"/>
        <v>-0.31666666666666665</v>
      </c>
      <c r="I28" s="1616" t="s">
        <v>330</v>
      </c>
    </row>
    <row r="29" spans="1:9" ht="16.5" customHeight="1">
      <c r="A29" s="2173"/>
      <c r="B29" s="2175"/>
      <c r="C29" s="1449" t="s">
        <v>174</v>
      </c>
      <c r="D29" s="1609">
        <f>'5-1.은학의집(재가복지)'!D29+'5-2은학의집(요양시설)'!D29</f>
        <v>35760000</v>
      </c>
      <c r="E29" s="1609">
        <f>'5-1.은학의집(재가복지)'!E29+'5-2은학의집(요양시설)'!E29</f>
        <v>31151554</v>
      </c>
      <c r="F29" s="1609">
        <f>'5-1.은학의집(재가복지)'!F29+'5-2은학의집(요양시설)'!F29</f>
        <v>31200000</v>
      </c>
      <c r="G29" s="1431">
        <f t="shared" si="4"/>
        <v>-4560000</v>
      </c>
      <c r="H29" s="1608">
        <f t="shared" si="1"/>
        <v>-0.12751677852348994</v>
      </c>
      <c r="I29" s="1617" t="s">
        <v>330</v>
      </c>
    </row>
    <row r="30" spans="1:9" ht="16.5" customHeight="1" thickBot="1">
      <c r="A30" s="2174"/>
      <c r="B30" s="2161" t="s">
        <v>71</v>
      </c>
      <c r="C30" s="2161"/>
      <c r="D30" s="1455">
        <f>SUM(D28:D29)</f>
        <v>38760000</v>
      </c>
      <c r="E30" s="1455">
        <f t="shared" ref="E30:F30" si="6">SUM(E28:E29)</f>
        <v>33201554</v>
      </c>
      <c r="F30" s="1456">
        <f t="shared" si="6"/>
        <v>33250000</v>
      </c>
      <c r="G30" s="1456">
        <f t="shared" si="4"/>
        <v>-5510000</v>
      </c>
      <c r="H30" s="1457">
        <f t="shared" si="1"/>
        <v>-0.14215686274509803</v>
      </c>
      <c r="I30" s="1458"/>
    </row>
    <row r="31" spans="1:9" ht="16.5" customHeight="1">
      <c r="A31" s="2176" t="s">
        <v>241</v>
      </c>
      <c r="B31" s="2169" t="s">
        <v>241</v>
      </c>
      <c r="C31" s="1437" t="s">
        <v>130</v>
      </c>
      <c r="D31" s="1609">
        <f>'5-1.은학의집(재가복지)'!D31+'5-2은학의집(요양시설)'!D31</f>
        <v>1941494736</v>
      </c>
      <c r="E31" s="1609">
        <f>'5-1.은학의집(재가복지)'!E31+'5-2은학의집(요양시설)'!E31</f>
        <v>964647070</v>
      </c>
      <c r="F31" s="1609">
        <f>'5-1.은학의집(재가복지)'!F31+'5-2은학의집(요양시설)'!F31</f>
        <v>966462104</v>
      </c>
      <c r="G31" s="1451">
        <f t="shared" si="4"/>
        <v>-975032632</v>
      </c>
      <c r="H31" s="1608">
        <f t="shared" si="1"/>
        <v>-0.50220719836141758</v>
      </c>
      <c r="I31" s="1616" t="s">
        <v>325</v>
      </c>
    </row>
    <row r="32" spans="1:9" ht="16.5" customHeight="1">
      <c r="A32" s="2157"/>
      <c r="B32" s="2160"/>
      <c r="C32" s="1419" t="s">
        <v>182</v>
      </c>
      <c r="D32" s="1609">
        <f>'5-1.은학의집(재가복지)'!D32+'5-2은학의집(요양시설)'!D32</f>
        <v>312000000</v>
      </c>
      <c r="E32" s="1609">
        <f>'5-1.은학의집(재가복지)'!E32+'5-2은학의집(요양시설)'!E32</f>
        <v>203478740</v>
      </c>
      <c r="F32" s="1609">
        <f>'5-1.은학의집(재가복지)'!F32+'5-2은학의집(요양시설)'!F32</f>
        <v>204930000</v>
      </c>
      <c r="G32" s="1441">
        <f t="shared" si="4"/>
        <v>-107070000</v>
      </c>
      <c r="H32" s="1608">
        <f t="shared" si="1"/>
        <v>-0.34317307692307691</v>
      </c>
      <c r="I32" s="1615" t="s">
        <v>325</v>
      </c>
    </row>
    <row r="33" spans="1:9" ht="16.5" customHeight="1" thickBot="1">
      <c r="A33" s="2158"/>
      <c r="B33" s="2170" t="s">
        <v>71</v>
      </c>
      <c r="C33" s="2177"/>
      <c r="D33" s="1445">
        <f>SUM(D31:D32)</f>
        <v>2253494736</v>
      </c>
      <c r="E33" s="1445">
        <f t="shared" ref="E33:F33" si="7">SUM(E31:E32)</f>
        <v>1168125810</v>
      </c>
      <c r="F33" s="1445">
        <f t="shared" si="7"/>
        <v>1171392104</v>
      </c>
      <c r="G33" s="1478">
        <f t="shared" si="4"/>
        <v>-1082102632</v>
      </c>
      <c r="H33" s="1447">
        <f t="shared" si="1"/>
        <v>-0.48018866639145324</v>
      </c>
      <c r="I33" s="1448"/>
    </row>
    <row r="34" spans="1:9" ht="16.5" customHeight="1">
      <c r="A34" s="1466"/>
      <c r="B34" s="2159" t="s">
        <v>69</v>
      </c>
      <c r="C34" s="1414" t="s">
        <v>203</v>
      </c>
      <c r="D34" s="1609">
        <f>'5-1.은학의집(재가복지)'!D34+'5-2은학의집(요양시설)'!D34</f>
        <v>0</v>
      </c>
      <c r="E34" s="1609">
        <f>'5-1.은학의집(재가복지)'!E34+'5-2은학의집(요양시설)'!E34</f>
        <v>0</v>
      </c>
      <c r="F34" s="1609">
        <f>'5-1.은학의집(재가복지)'!F34+'5-2은학의집(요양시설)'!F34</f>
        <v>10100000</v>
      </c>
      <c r="G34" s="1438">
        <f t="shared" si="4"/>
        <v>10100000</v>
      </c>
      <c r="H34" s="1608"/>
      <c r="I34" s="1618" t="s">
        <v>331</v>
      </c>
    </row>
    <row r="35" spans="1:9" ht="16.5" customHeight="1">
      <c r="A35" s="1466"/>
      <c r="B35" s="2159"/>
      <c r="C35" s="1429" t="s">
        <v>128</v>
      </c>
      <c r="D35" s="1609">
        <f>'5-1.은학의집(재가복지)'!D35+'5-2은학의집(요양시설)'!D35</f>
        <v>0</v>
      </c>
      <c r="E35" s="1609">
        <f>'5-1.은학의집(재가복지)'!E35+'5-2은학의집(요양시설)'!E35</f>
        <v>0</v>
      </c>
      <c r="F35" s="1609">
        <f>'5-1.은학의집(재가복지)'!F35+'5-2은학의집(요양시설)'!F35</f>
        <v>0</v>
      </c>
      <c r="G35" s="1441">
        <f t="shared" si="4"/>
        <v>0</v>
      </c>
      <c r="H35" s="1608"/>
      <c r="I35" s="1467"/>
    </row>
    <row r="36" spans="1:9" ht="16.5" customHeight="1">
      <c r="A36" s="2178" t="s">
        <v>69</v>
      </c>
      <c r="B36" s="2160"/>
      <c r="C36" s="1429" t="s">
        <v>247</v>
      </c>
      <c r="D36" s="1609">
        <f>'5-1.은학의집(재가복지)'!D36+'5-2은학의집(요양시설)'!D36</f>
        <v>10000000</v>
      </c>
      <c r="E36" s="1609">
        <f>'5-1.은학의집(재가복지)'!E36+'5-2은학의집(요양시설)'!E36</f>
        <v>0</v>
      </c>
      <c r="F36" s="1609">
        <f>'5-1.은학의집(재가복지)'!F36+'5-2은학의집(요양시설)'!F36</f>
        <v>10000000</v>
      </c>
      <c r="G36" s="1451">
        <f t="shared" si="4"/>
        <v>0</v>
      </c>
      <c r="H36" s="1608">
        <f t="shared" si="1"/>
        <v>0</v>
      </c>
      <c r="I36" s="1462"/>
    </row>
    <row r="37" spans="1:9" ht="16.5" customHeight="1" thickBot="1">
      <c r="A37" s="2179"/>
      <c r="B37" s="2170" t="s">
        <v>71</v>
      </c>
      <c r="C37" s="2177"/>
      <c r="D37" s="1445">
        <f>SUM(D34:D36)</f>
        <v>10000000</v>
      </c>
      <c r="E37" s="1445">
        <f t="shared" ref="E37:F37" si="8">SUM(E34:E36)</f>
        <v>0</v>
      </c>
      <c r="F37" s="1445">
        <f t="shared" si="8"/>
        <v>20100000</v>
      </c>
      <c r="G37" s="1463">
        <f t="shared" si="4"/>
        <v>10100000</v>
      </c>
      <c r="H37" s="1619">
        <f t="shared" si="1"/>
        <v>1.01</v>
      </c>
      <c r="I37" s="1458"/>
    </row>
    <row r="38" spans="1:9" ht="16.5" customHeight="1">
      <c r="A38" s="2180" t="s">
        <v>74</v>
      </c>
      <c r="B38" s="2169" t="s">
        <v>74</v>
      </c>
      <c r="C38" s="1496" t="s">
        <v>159</v>
      </c>
      <c r="D38" s="1609">
        <f>'5-1.은학의집(재가복지)'!D38+'5-2은학의집(요양시설)'!D38</f>
        <v>1225116249</v>
      </c>
      <c r="E38" s="1609">
        <f>'5-1.은학의집(재가복지)'!E38+'5-2은학의집(요양시설)'!E38</f>
        <v>1300624866</v>
      </c>
      <c r="F38" s="1609">
        <f>'5-1.은학의집(재가복지)'!F38+'5-2은학의집(요양시설)'!F38</f>
        <v>1300624866</v>
      </c>
      <c r="G38" s="1481">
        <f t="shared" si="4"/>
        <v>75508617</v>
      </c>
      <c r="H38" s="1620">
        <f t="shared" si="1"/>
        <v>6.1633838471764485E-2</v>
      </c>
      <c r="I38" s="1621" t="s">
        <v>332</v>
      </c>
    </row>
    <row r="39" spans="1:9" ht="16.5" customHeight="1">
      <c r="A39" s="2178"/>
      <c r="B39" s="2160"/>
      <c r="C39" s="1429" t="s">
        <v>101</v>
      </c>
      <c r="D39" s="1609">
        <f>'5-1.은학의집(재가복지)'!D39+'5-2은학의집(요양시설)'!D39</f>
        <v>35500000</v>
      </c>
      <c r="E39" s="1609">
        <f>'5-1.은학의집(재가복지)'!E39+'5-2은학의집(요양시설)'!E39</f>
        <v>55163254</v>
      </c>
      <c r="F39" s="1609">
        <f>'5-1.은학의집(재가복지)'!F39+'5-2은학의집(요양시설)'!F39</f>
        <v>55163254</v>
      </c>
      <c r="G39" s="1431">
        <f t="shared" si="4"/>
        <v>19663254</v>
      </c>
      <c r="H39" s="1608">
        <f t="shared" si="1"/>
        <v>0.55389447887323939</v>
      </c>
      <c r="I39" s="1622" t="s">
        <v>332</v>
      </c>
    </row>
    <row r="40" spans="1:9" ht="16.5" customHeight="1" thickBot="1">
      <c r="A40" s="2179"/>
      <c r="B40" s="2181" t="s">
        <v>71</v>
      </c>
      <c r="C40" s="2182"/>
      <c r="D40" s="1445">
        <f>SUM(D38:D39)</f>
        <v>1260616249</v>
      </c>
      <c r="E40" s="1445">
        <f t="shared" ref="E40:F40" si="9">SUM(E38:E39)</f>
        <v>1355788120</v>
      </c>
      <c r="F40" s="1445">
        <f t="shared" si="9"/>
        <v>1355788120</v>
      </c>
      <c r="G40" s="1478">
        <f t="shared" si="4"/>
        <v>95171871</v>
      </c>
      <c r="H40" s="1479">
        <f t="shared" si="1"/>
        <v>7.5496306727361559E-2</v>
      </c>
      <c r="I40" s="1448"/>
    </row>
    <row r="41" spans="1:9" ht="16.5" customHeight="1">
      <c r="A41" s="2183" t="s">
        <v>61</v>
      </c>
      <c r="B41" s="2186" t="s">
        <v>61</v>
      </c>
      <c r="C41" s="1437" t="s">
        <v>250</v>
      </c>
      <c r="D41" s="1609">
        <f>'5-1.은학의집(재가복지)'!D41+'5-2은학의집(요양시설)'!D41</f>
        <v>0</v>
      </c>
      <c r="E41" s="1609">
        <f>'5-1.은학의집(재가복지)'!E41+'5-2은학의집(요양시설)'!E41</f>
        <v>0</v>
      </c>
      <c r="F41" s="1609">
        <f>'5-1.은학의집(재가복지)'!F41+'5-2은학의집(요양시설)'!F41</f>
        <v>0</v>
      </c>
      <c r="G41" s="1481">
        <f t="shared" si="4"/>
        <v>0</v>
      </c>
      <c r="H41" s="1620"/>
      <c r="I41" s="1440"/>
    </row>
    <row r="42" spans="1:9" ht="16.5" customHeight="1">
      <c r="A42" s="2184"/>
      <c r="B42" s="2175"/>
      <c r="C42" s="1419" t="s">
        <v>118</v>
      </c>
      <c r="D42" s="1609">
        <f>'5-1.은학의집(재가복지)'!D42+'5-2은학의집(요양시설)'!D42</f>
        <v>1250000</v>
      </c>
      <c r="E42" s="1609">
        <f>'5-1.은학의집(재가복지)'!E42+'5-2은학의집(요양시설)'!E42</f>
        <v>392659</v>
      </c>
      <c r="F42" s="1609">
        <f>'5-1.은학의집(재가복지)'!F42+'5-2은학의집(요양시설)'!F42</f>
        <v>16736427</v>
      </c>
      <c r="G42" s="1431"/>
      <c r="H42" s="1608">
        <f t="shared" si="1"/>
        <v>0</v>
      </c>
      <c r="I42" s="1615" t="s">
        <v>333</v>
      </c>
    </row>
    <row r="43" spans="1:9" ht="16.5" customHeight="1">
      <c r="A43" s="2184"/>
      <c r="B43" s="2175"/>
      <c r="C43" s="1419" t="s">
        <v>209</v>
      </c>
      <c r="D43" s="1609">
        <f>'5-1.은학의집(재가복지)'!D43+'5-2은학의집(요양시설)'!D43</f>
        <v>33600000</v>
      </c>
      <c r="E43" s="1609">
        <f>'5-1.은학의집(재가복지)'!E43+'5-2은학의집(요양시설)'!E43</f>
        <v>14724500</v>
      </c>
      <c r="F43" s="1609">
        <f>'5-1.은학의집(재가복지)'!F43+'5-2은학의집(요양시설)'!F43</f>
        <v>15190000</v>
      </c>
      <c r="G43" s="1431">
        <f t="shared" si="4"/>
        <v>-18410000</v>
      </c>
      <c r="H43" s="1608">
        <f t="shared" si="1"/>
        <v>-0.54791666666666672</v>
      </c>
      <c r="I43" s="1615" t="s">
        <v>334</v>
      </c>
    </row>
    <row r="44" spans="1:9" ht="16.5" customHeight="1">
      <c r="A44" s="2184"/>
      <c r="B44" s="2175"/>
      <c r="C44" s="1419" t="s">
        <v>171</v>
      </c>
      <c r="D44" s="1609">
        <f>'5-1.은학의집(재가복지)'!D44+'5-2은학의집(요양시설)'!D44</f>
        <v>5288271</v>
      </c>
      <c r="E44" s="1609">
        <f>'5-1.은학의집(재가복지)'!E44+'5-2은학의집(요양시설)'!E44</f>
        <v>8108750</v>
      </c>
      <c r="F44" s="1609">
        <f>'5-1.은학의집(재가복지)'!F44+'5-2은학의집(요양시설)'!F44</f>
        <v>11507363</v>
      </c>
      <c r="G44" s="1431">
        <f t="shared" si="4"/>
        <v>6219092</v>
      </c>
      <c r="H44" s="1608">
        <f t="shared" si="1"/>
        <v>1.1760161307920869</v>
      </c>
      <c r="I44" s="1623" t="s">
        <v>335</v>
      </c>
    </row>
    <row r="45" spans="1:9" ht="16.5" customHeight="1" thickBot="1">
      <c r="A45" s="2185"/>
      <c r="B45" s="2161" t="s">
        <v>71</v>
      </c>
      <c r="C45" s="2161"/>
      <c r="D45" s="1445">
        <f>SUM(D41:D44)</f>
        <v>40138271</v>
      </c>
      <c r="E45" s="1445">
        <f t="shared" ref="E45:F45" si="10">SUM(E41:E44)</f>
        <v>23225909</v>
      </c>
      <c r="F45" s="1445">
        <f t="shared" si="10"/>
        <v>43433790</v>
      </c>
      <c r="G45" s="1478">
        <f t="shared" si="4"/>
        <v>3295519</v>
      </c>
      <c r="H45" s="1479">
        <f t="shared" si="1"/>
        <v>8.210415939440939E-2</v>
      </c>
      <c r="I45" s="1448"/>
    </row>
    <row r="46" spans="1:9" ht="16.5" customHeight="1">
      <c r="A46" s="2172" t="s">
        <v>129</v>
      </c>
      <c r="B46" s="2160" t="s">
        <v>53</v>
      </c>
      <c r="C46" s="1414" t="s">
        <v>152</v>
      </c>
      <c r="D46" s="1609">
        <f>'5-1.은학의집(재가복지)'!D46+'5-2은학의집(요양시설)'!D46</f>
        <v>18000000</v>
      </c>
      <c r="E46" s="1609">
        <f>'5-1.은학의집(재가복지)'!E46+'5-2은학의집(요양시설)'!E46</f>
        <v>18000000</v>
      </c>
      <c r="F46" s="1609">
        <f>'5-1.은학의집(재가복지)'!F46+'5-2은학의집(요양시설)'!F46</f>
        <v>18000000</v>
      </c>
      <c r="G46" s="1431">
        <f t="shared" si="4"/>
        <v>0</v>
      </c>
      <c r="H46" s="1608">
        <f t="shared" si="1"/>
        <v>0</v>
      </c>
      <c r="I46" s="1467"/>
    </row>
    <row r="47" spans="1:9" ht="16.5" customHeight="1">
      <c r="A47" s="2173"/>
      <c r="B47" s="2175"/>
      <c r="C47" s="1419" t="s">
        <v>139</v>
      </c>
      <c r="D47" s="1609">
        <f>'5-1.은학의집(재가복지)'!D47+'5-2은학의집(요양시설)'!D47</f>
        <v>18000000</v>
      </c>
      <c r="E47" s="1609">
        <f>'5-1.은학의집(재가복지)'!E47+'5-2은학의집(요양시설)'!E47</f>
        <v>18000000</v>
      </c>
      <c r="F47" s="1609">
        <f>'5-1.은학의집(재가복지)'!F47+'5-2은학의집(요양시설)'!F47</f>
        <v>18000000</v>
      </c>
      <c r="G47" s="1431">
        <f t="shared" si="4"/>
        <v>0</v>
      </c>
      <c r="H47" s="1608">
        <f t="shared" si="1"/>
        <v>0</v>
      </c>
      <c r="I47" s="1462"/>
    </row>
    <row r="48" spans="1:9" ht="16.5" customHeight="1" thickBot="1">
      <c r="A48" s="2189"/>
      <c r="B48" s="2190" t="s">
        <v>71</v>
      </c>
      <c r="C48" s="2190"/>
      <c r="D48" s="1624">
        <f>SUM(D46:D47)</f>
        <v>36000000</v>
      </c>
      <c r="E48" s="1624">
        <f t="shared" ref="E48:F48" si="11">SUM(E46:E47)</f>
        <v>36000000</v>
      </c>
      <c r="F48" s="1624">
        <f t="shared" si="11"/>
        <v>36000000</v>
      </c>
      <c r="G48" s="1614">
        <f t="shared" si="4"/>
        <v>0</v>
      </c>
      <c r="H48" s="1625">
        <f t="shared" si="1"/>
        <v>0</v>
      </c>
      <c r="I48" s="1482"/>
    </row>
    <row r="49" spans="1:9" ht="18" thickBot="1">
      <c r="A49" s="2191" t="s">
        <v>76</v>
      </c>
      <c r="B49" s="2192"/>
      <c r="C49" s="2193"/>
      <c r="D49" s="1555">
        <f>SUM(D13,D22,D27,D30,D33,D37,D40,D45,D48)</f>
        <v>4250000000</v>
      </c>
      <c r="E49" s="1555">
        <f t="shared" ref="E49:F49" si="12">SUM(E13,E22,E27,E30,E33,E37,E40,E45,E48)</f>
        <v>2882471113</v>
      </c>
      <c r="F49" s="1555">
        <f t="shared" si="12"/>
        <v>2930000000</v>
      </c>
      <c r="G49" s="1555">
        <f t="shared" si="4"/>
        <v>-1320000000</v>
      </c>
      <c r="H49" s="1607">
        <f>G49/D49*100%</f>
        <v>-0.31058823529411766</v>
      </c>
      <c r="I49" s="1485"/>
    </row>
    <row r="50" spans="1:9" ht="17.5" thickBot="1">
      <c r="A50" s="2194" t="s">
        <v>25</v>
      </c>
      <c r="B50" s="2195"/>
      <c r="C50" s="2195"/>
      <c r="D50" s="2195"/>
      <c r="E50" s="2195"/>
      <c r="F50" s="2195"/>
      <c r="G50" s="2195"/>
      <c r="H50" s="2195"/>
      <c r="I50" s="2196"/>
    </row>
    <row r="51" spans="1:9" ht="17.5" customHeight="1">
      <c r="A51" s="2149" t="s">
        <v>82</v>
      </c>
      <c r="B51" s="2150"/>
      <c r="C51" s="2150"/>
      <c r="D51" s="2151" t="s">
        <v>283</v>
      </c>
      <c r="E51" s="2151" t="s">
        <v>505</v>
      </c>
      <c r="F51" s="2151" t="s">
        <v>44</v>
      </c>
      <c r="G51" s="2151" t="s">
        <v>108</v>
      </c>
      <c r="H51" s="2153" t="s">
        <v>186</v>
      </c>
      <c r="I51" s="2155" t="s">
        <v>146</v>
      </c>
    </row>
    <row r="52" spans="1:9" ht="18" customHeight="1" thickBot="1">
      <c r="A52" s="1412" t="s">
        <v>78</v>
      </c>
      <c r="B52" s="1413" t="s">
        <v>88</v>
      </c>
      <c r="C52" s="1413" t="s">
        <v>89</v>
      </c>
      <c r="D52" s="2152"/>
      <c r="E52" s="2152"/>
      <c r="F52" s="2152"/>
      <c r="G52" s="2152"/>
      <c r="H52" s="2154"/>
      <c r="I52" s="2156"/>
    </row>
    <row r="53" spans="1:9" ht="16.5" customHeight="1">
      <c r="A53" s="1486" t="s">
        <v>93</v>
      </c>
      <c r="B53" s="2186" t="s">
        <v>62</v>
      </c>
      <c r="C53" s="1487" t="s">
        <v>91</v>
      </c>
      <c r="D53" s="1609">
        <f>'5-1.은학의집(재가복지)'!D53+'5-2은학의집(요양시설)'!D53</f>
        <v>1544585880</v>
      </c>
      <c r="E53" s="1609">
        <f>'5-1.은학의집(재가복지)'!E53+'5-2은학의집(요양시설)'!E53</f>
        <v>800584310</v>
      </c>
      <c r="F53" s="1609">
        <f>'5-1.은학의집(재가복지)'!F53+'5-2은학의집(요양시설)'!F53</f>
        <v>838304990</v>
      </c>
      <c r="G53" s="1481">
        <f>F53-D53</f>
        <v>-706280890</v>
      </c>
      <c r="H53" s="1586">
        <f>G53/D53*100%</f>
        <v>-0.45726229868163759</v>
      </c>
      <c r="I53" s="1626" t="s">
        <v>336</v>
      </c>
    </row>
    <row r="54" spans="1:9" ht="16.5" customHeight="1">
      <c r="A54" s="1491"/>
      <c r="B54" s="2175"/>
      <c r="C54" s="1492" t="s">
        <v>67</v>
      </c>
      <c r="D54" s="1609">
        <f>'5-1.은학의집(재가복지)'!D54+'5-2은학의집(요양시설)'!D54</f>
        <v>408159020</v>
      </c>
      <c r="E54" s="1609">
        <f>'5-1.은학의집(재가복지)'!E54+'5-2은학의집(요양시설)'!E54</f>
        <v>341121352</v>
      </c>
      <c r="F54" s="1609">
        <f>'5-1.은학의집(재가복지)'!F54+'5-2은학의집(요양시설)'!F54</f>
        <v>404534990</v>
      </c>
      <c r="G54" s="1431">
        <f t="shared" ref="G54:G119" si="13">F54-D54</f>
        <v>-3624030</v>
      </c>
      <c r="H54" s="1545">
        <f t="shared" ref="H54:H113" si="14">G54/D54*100%</f>
        <v>-8.8789658501238072E-3</v>
      </c>
      <c r="I54" s="1627" t="s">
        <v>337</v>
      </c>
    </row>
    <row r="55" spans="1:9" ht="16.5" customHeight="1">
      <c r="A55" s="1491"/>
      <c r="B55" s="2175"/>
      <c r="C55" s="1492" t="s">
        <v>212</v>
      </c>
      <c r="D55" s="1609">
        <f>'5-1.은학의집(재가복지)'!D55+'5-2은학의집(요양시설)'!D55</f>
        <v>7000000</v>
      </c>
      <c r="E55" s="1609">
        <f>'5-1.은학의집(재가복지)'!E55+'5-2은학의집(요양시설)'!E55</f>
        <v>5933020</v>
      </c>
      <c r="F55" s="1609">
        <f>'5-1.은학의집(재가복지)'!F55+'5-2은학의집(요양시설)'!F55</f>
        <v>6200000</v>
      </c>
      <c r="G55" s="1431">
        <f t="shared" si="13"/>
        <v>-800000</v>
      </c>
      <c r="H55" s="1545">
        <f t="shared" si="14"/>
        <v>-0.11428571428571428</v>
      </c>
      <c r="I55" s="1627"/>
    </row>
    <row r="56" spans="1:9" ht="16.5" customHeight="1">
      <c r="A56" s="1491"/>
      <c r="B56" s="2175"/>
      <c r="C56" s="1492" t="s">
        <v>98</v>
      </c>
      <c r="D56" s="1609">
        <f>'5-1.은학의집(재가복지)'!D56+'5-2은학의집(요양시설)'!D56</f>
        <v>162728830</v>
      </c>
      <c r="E56" s="1609">
        <f>'5-1.은학의집(재가복지)'!E56+'5-2은학의집(요양시설)'!E56</f>
        <v>65955546</v>
      </c>
      <c r="F56" s="1609">
        <f>'5-1.은학의집(재가복지)'!F56+'5-2은학의집(요양시설)'!F56</f>
        <v>81070010</v>
      </c>
      <c r="G56" s="1431">
        <f t="shared" si="13"/>
        <v>-81658820</v>
      </c>
      <c r="H56" s="1545">
        <f t="shared" si="14"/>
        <v>-0.50180917542392456</v>
      </c>
      <c r="I56" s="1627" t="s">
        <v>336</v>
      </c>
    </row>
    <row r="57" spans="1:9" ht="16.5" customHeight="1">
      <c r="A57" s="1491"/>
      <c r="B57" s="2175"/>
      <c r="C57" s="1492" t="s">
        <v>180</v>
      </c>
      <c r="D57" s="1609">
        <f>'5-1.은학의집(재가복지)'!D57+'5-2은학의집(요양시설)'!D57</f>
        <v>207000280</v>
      </c>
      <c r="E57" s="1609">
        <f>'5-1.은학의집(재가복지)'!E57+'5-2은학의집(요양시설)'!E57</f>
        <v>92832340</v>
      </c>
      <c r="F57" s="1609">
        <f>'5-1.은학의집(재가복지)'!F57+'5-2은학의집(요양시설)'!F57</f>
        <v>109020620</v>
      </c>
      <c r="G57" s="1431">
        <f t="shared" si="13"/>
        <v>-97979660</v>
      </c>
      <c r="H57" s="1545">
        <f t="shared" si="14"/>
        <v>-0.47333105056669489</v>
      </c>
      <c r="I57" s="1627" t="s">
        <v>336</v>
      </c>
    </row>
    <row r="58" spans="1:9" ht="16.5" customHeight="1">
      <c r="A58" s="1491"/>
      <c r="B58" s="2175"/>
      <c r="C58" s="1492" t="s">
        <v>176</v>
      </c>
      <c r="D58" s="1609">
        <f>'5-1.은학의집(재가복지)'!D58+'5-2은학의집(요양시설)'!D58</f>
        <v>0</v>
      </c>
      <c r="E58" s="1609">
        <f>'5-1.은학의집(재가복지)'!E58+'5-2은학의집(요양시설)'!E58</f>
        <v>0</v>
      </c>
      <c r="F58" s="1609">
        <f>'5-1.은학의집(재가복지)'!F58+'5-2은학의집(요양시설)'!F58</f>
        <v>0</v>
      </c>
      <c r="G58" s="1431">
        <f t="shared" si="13"/>
        <v>0</v>
      </c>
      <c r="H58" s="1545"/>
      <c r="I58" s="1432"/>
    </row>
    <row r="59" spans="1:9" ht="16.5" customHeight="1" thickBot="1">
      <c r="A59" s="1491"/>
      <c r="B59" s="2197"/>
      <c r="C59" s="1494" t="s">
        <v>96</v>
      </c>
      <c r="D59" s="1455">
        <f>SUM(D53:D58)</f>
        <v>2329474010</v>
      </c>
      <c r="E59" s="1455">
        <f t="shared" ref="E59:F59" si="15">SUM(E53:E58)</f>
        <v>1306426568</v>
      </c>
      <c r="F59" s="1455">
        <f t="shared" si="15"/>
        <v>1439130610</v>
      </c>
      <c r="G59" s="1478">
        <f t="shared" si="13"/>
        <v>-890343400</v>
      </c>
      <c r="H59" s="1513">
        <f t="shared" si="14"/>
        <v>-0.38220791310738855</v>
      </c>
      <c r="I59" s="1436"/>
    </row>
    <row r="60" spans="1:9" ht="16.5" customHeight="1">
      <c r="A60" s="1491"/>
      <c r="B60" s="2186" t="s">
        <v>193</v>
      </c>
      <c r="C60" s="1496" t="s">
        <v>148</v>
      </c>
      <c r="D60" s="1609">
        <f>'5-1.은학의집(재가복지)'!D60+'5-2은학의집(요양시설)'!D60</f>
        <v>8400000</v>
      </c>
      <c r="E60" s="1609">
        <f>'5-1.은학의집(재가복지)'!E60+'5-2은학의집(요양시설)'!E60</f>
        <v>1812300</v>
      </c>
      <c r="F60" s="1609">
        <f>'5-1.은학의집(재가복지)'!F60+'5-2은학의집(요양시설)'!F60</f>
        <v>2700000</v>
      </c>
      <c r="G60" s="1481">
        <f t="shared" si="13"/>
        <v>-5700000</v>
      </c>
      <c r="H60" s="1586">
        <f t="shared" si="14"/>
        <v>-0.6785714285714286</v>
      </c>
      <c r="I60" s="1626" t="s">
        <v>338</v>
      </c>
    </row>
    <row r="61" spans="1:9" ht="16.5" customHeight="1">
      <c r="A61" s="1491"/>
      <c r="B61" s="2175"/>
      <c r="C61" s="1498" t="s">
        <v>253</v>
      </c>
      <c r="D61" s="1609">
        <f>'5-1.은학의집(재가복지)'!D61+'5-2은학의집(요양시설)'!D61</f>
        <v>6000000</v>
      </c>
      <c r="E61" s="1609">
        <f>'5-1.은학의집(재가복지)'!E61+'5-2은학의집(요양시설)'!E61</f>
        <v>5000000</v>
      </c>
      <c r="F61" s="1609">
        <f>'5-1.은학의집(재가복지)'!F61+'5-2은학의집(요양시설)'!F61</f>
        <v>6000000</v>
      </c>
      <c r="G61" s="1431">
        <f t="shared" si="13"/>
        <v>0</v>
      </c>
      <c r="H61" s="1545">
        <f t="shared" si="14"/>
        <v>0</v>
      </c>
      <c r="I61" s="1627"/>
    </row>
    <row r="62" spans="1:9" ht="16.5" customHeight="1">
      <c r="A62" s="1491"/>
      <c r="B62" s="2175"/>
      <c r="C62" s="1492" t="s">
        <v>83</v>
      </c>
      <c r="D62" s="1609">
        <f>'5-1.은학의집(재가복지)'!D62+'5-2은학의집(요양시설)'!D62</f>
        <v>38140000</v>
      </c>
      <c r="E62" s="1609">
        <f>'5-1.은학의집(재가복지)'!E62+'5-2은학의집(요양시설)'!E62</f>
        <v>5076780</v>
      </c>
      <c r="F62" s="1609">
        <f>'5-1.은학의집(재가복지)'!F62+'5-2은학의집(요양시설)'!F62</f>
        <v>9707000</v>
      </c>
      <c r="G62" s="1431">
        <f t="shared" si="13"/>
        <v>-28433000</v>
      </c>
      <c r="H62" s="1545">
        <f t="shared" si="14"/>
        <v>-0.74549029889879392</v>
      </c>
      <c r="I62" s="1627" t="s">
        <v>339</v>
      </c>
    </row>
    <row r="63" spans="1:9" ht="16.5" customHeight="1" thickBot="1">
      <c r="A63" s="1491"/>
      <c r="B63" s="2197"/>
      <c r="C63" s="1494" t="s">
        <v>96</v>
      </c>
      <c r="D63" s="1455">
        <f>SUM(D60:D62)</f>
        <v>52540000</v>
      </c>
      <c r="E63" s="1455">
        <f t="shared" ref="E63:F63" si="16">SUM(E60:E62)</f>
        <v>11889080</v>
      </c>
      <c r="F63" s="1455">
        <f t="shared" si="16"/>
        <v>18407000</v>
      </c>
      <c r="G63" s="1478">
        <f t="shared" si="13"/>
        <v>-34133000</v>
      </c>
      <c r="H63" s="1513">
        <f t="shared" si="14"/>
        <v>-0.64965740388275595</v>
      </c>
      <c r="I63" s="1436"/>
    </row>
    <row r="64" spans="1:9" ht="16.5" customHeight="1">
      <c r="A64" s="1491"/>
      <c r="B64" s="2186" t="s">
        <v>77</v>
      </c>
      <c r="C64" s="1487" t="s">
        <v>60</v>
      </c>
      <c r="D64" s="1609">
        <f>'5-1.은학의집(재가복지)'!D64+'5-2은학의집(요양시설)'!D64</f>
        <v>7740000</v>
      </c>
      <c r="E64" s="1609">
        <f>'5-1.은학의집(재가복지)'!E64+'5-2은학의집(요양시설)'!E64</f>
        <v>694700</v>
      </c>
      <c r="F64" s="1609">
        <f>'5-1.은학의집(재가복지)'!F64+'5-2은학의집(요양시설)'!F64</f>
        <v>760000</v>
      </c>
      <c r="G64" s="1481">
        <f t="shared" si="13"/>
        <v>-6980000</v>
      </c>
      <c r="H64" s="1586">
        <f t="shared" si="14"/>
        <v>-0.90180878552971577</v>
      </c>
      <c r="I64" s="1628" t="s">
        <v>340</v>
      </c>
    </row>
    <row r="65" spans="1:9" ht="16.5" customHeight="1">
      <c r="A65" s="1491"/>
      <c r="B65" s="2175"/>
      <c r="C65" s="1492" t="s">
        <v>97</v>
      </c>
      <c r="D65" s="1609">
        <f>'5-1.은학의집(재가복지)'!D65+'5-2은학의집(요양시설)'!D65</f>
        <v>64140000</v>
      </c>
      <c r="E65" s="1609">
        <f>'5-1.은학의집(재가복지)'!E65+'5-2은학의집(요양시설)'!E65</f>
        <v>15476310</v>
      </c>
      <c r="F65" s="1609">
        <f>'5-1.은학의집(재가복지)'!F65+'5-2은학의집(요양시설)'!F65</f>
        <v>23761000</v>
      </c>
      <c r="G65" s="1431">
        <f t="shared" si="13"/>
        <v>-40379000</v>
      </c>
      <c r="H65" s="1545">
        <f t="shared" si="14"/>
        <v>-0.6295447458684128</v>
      </c>
      <c r="I65" s="1629" t="s">
        <v>340</v>
      </c>
    </row>
    <row r="66" spans="1:9" ht="16.5" customHeight="1">
      <c r="A66" s="1491"/>
      <c r="B66" s="2175"/>
      <c r="C66" s="1492" t="s">
        <v>161</v>
      </c>
      <c r="D66" s="1609">
        <f>'5-1.은학의집(재가복지)'!D66+'5-2은학의집(요양시설)'!D66</f>
        <v>303390000</v>
      </c>
      <c r="E66" s="1609">
        <f>'5-1.은학의집(재가복지)'!E66+'5-2은학의집(요양시설)'!E66</f>
        <v>110772786</v>
      </c>
      <c r="F66" s="1609">
        <f>'5-1.은학의집(재가복지)'!F66+'5-2은학의집(요양시설)'!F66</f>
        <v>117825000</v>
      </c>
      <c r="G66" s="1431">
        <f t="shared" si="13"/>
        <v>-185565000</v>
      </c>
      <c r="H66" s="1545">
        <f t="shared" si="14"/>
        <v>-0.61163848511816477</v>
      </c>
      <c r="I66" s="1617" t="s">
        <v>340</v>
      </c>
    </row>
    <row r="67" spans="1:9" ht="16.5" customHeight="1">
      <c r="A67" s="1491"/>
      <c r="B67" s="2175"/>
      <c r="C67" s="1492" t="s">
        <v>168</v>
      </c>
      <c r="D67" s="1609">
        <f>'5-1.은학의집(재가복지)'!D67+'5-2은학의집(요양시설)'!D67</f>
        <v>0</v>
      </c>
      <c r="E67" s="1609">
        <f>'5-1.은학의집(재가복지)'!E67+'5-2은학의집(요양시설)'!E67</f>
        <v>0</v>
      </c>
      <c r="F67" s="1609">
        <f>'5-1.은학의집(재가복지)'!F67+'5-2은학의집(요양시설)'!F67</f>
        <v>0</v>
      </c>
      <c r="G67" s="1431">
        <f t="shared" si="13"/>
        <v>0</v>
      </c>
      <c r="H67" s="1545"/>
      <c r="I67" s="1630"/>
    </row>
    <row r="68" spans="1:9" ht="16.5" customHeight="1">
      <c r="A68" s="1503"/>
      <c r="B68" s="2175"/>
      <c r="C68" s="1492" t="s">
        <v>68</v>
      </c>
      <c r="D68" s="1609">
        <f>'5-1.은학의집(재가복지)'!D68+'5-2은학의집(요양시설)'!D68</f>
        <v>56100000</v>
      </c>
      <c r="E68" s="1609">
        <f>'5-1.은학의집(재가복지)'!E68+'5-2은학의집(요양시설)'!E68</f>
        <v>5366700</v>
      </c>
      <c r="F68" s="1609">
        <f>'5-1.은학의집(재가복지)'!F68+'5-2은학의집(요양시설)'!F68</f>
        <v>5620000</v>
      </c>
      <c r="G68" s="1434">
        <f t="shared" si="13"/>
        <v>-50480000</v>
      </c>
      <c r="H68" s="1545">
        <f t="shared" si="14"/>
        <v>-0.89982174688057037</v>
      </c>
      <c r="I68" s="1617" t="s">
        <v>340</v>
      </c>
    </row>
    <row r="69" spans="1:9" ht="16.5" customHeight="1">
      <c r="A69" s="1503"/>
      <c r="B69" s="2175"/>
      <c r="C69" s="1429" t="s">
        <v>70</v>
      </c>
      <c r="D69" s="1609">
        <f>'5-1.은학의집(재가복지)'!D69+'5-2은학의집(요양시설)'!D69</f>
        <v>0</v>
      </c>
      <c r="E69" s="1609">
        <f>'5-1.은학의집(재가복지)'!E69+'5-2은학의집(요양시설)'!E69</f>
        <v>0</v>
      </c>
      <c r="F69" s="1609">
        <f>'5-1.은학의집(재가복지)'!F69+'5-2은학의집(요양시설)'!F69</f>
        <v>0</v>
      </c>
      <c r="G69" s="1441">
        <f t="shared" si="13"/>
        <v>0</v>
      </c>
      <c r="H69" s="1545"/>
      <c r="I69" s="1482"/>
    </row>
    <row r="70" spans="1:9" ht="16.5" customHeight="1">
      <c r="A70" s="1503"/>
      <c r="B70" s="2175"/>
      <c r="C70" s="1429" t="s">
        <v>151</v>
      </c>
      <c r="D70" s="1609">
        <f>'5-1.은학의집(재가복지)'!D70+'5-2은학의집(요양시설)'!D70</f>
        <v>134000000</v>
      </c>
      <c r="E70" s="1609">
        <f>'5-1.은학의집(재가복지)'!E70+'5-2은학의집(요양시설)'!E70</f>
        <v>26410870</v>
      </c>
      <c r="F70" s="1609">
        <f>'5-1.은학의집(재가복지)'!F70+'5-2은학의집(요양시설)'!F70</f>
        <v>39800000</v>
      </c>
      <c r="G70" s="1441">
        <f t="shared" si="13"/>
        <v>-94200000</v>
      </c>
      <c r="H70" s="1545">
        <f t="shared" si="14"/>
        <v>-0.70298507462686566</v>
      </c>
      <c r="I70" s="1631" t="s">
        <v>340</v>
      </c>
    </row>
    <row r="71" spans="1:9" ht="16.5" customHeight="1" thickBot="1">
      <c r="A71" s="1503"/>
      <c r="B71" s="2197"/>
      <c r="C71" s="1590" t="s">
        <v>96</v>
      </c>
      <c r="D71" s="1591">
        <f>SUM(D64:D70)</f>
        <v>565370000</v>
      </c>
      <c r="E71" s="1591">
        <f t="shared" ref="E71:F71" si="17">SUM(E64:E70)</f>
        <v>158721366</v>
      </c>
      <c r="F71" s="1591">
        <f t="shared" si="17"/>
        <v>187766000</v>
      </c>
      <c r="G71" s="1478">
        <f t="shared" si="13"/>
        <v>-377604000</v>
      </c>
      <c r="H71" s="1513">
        <f t="shared" si="14"/>
        <v>-0.66788828554751756</v>
      </c>
      <c r="I71" s="1436"/>
    </row>
    <row r="72" spans="1:9" ht="16.5" customHeight="1" thickBot="1">
      <c r="A72" s="1512" t="s">
        <v>72</v>
      </c>
      <c r="B72" s="2187" t="s">
        <v>71</v>
      </c>
      <c r="C72" s="2188"/>
      <c r="D72" s="1632">
        <f>SUM(D59,D63,D71)</f>
        <v>2947384010</v>
      </c>
      <c r="E72" s="1478">
        <f t="shared" ref="E72:F72" si="18">SUM(E59,E63,E71)</f>
        <v>1477037014</v>
      </c>
      <c r="F72" s="1633">
        <f t="shared" si="18"/>
        <v>1645303610</v>
      </c>
      <c r="G72" s="1478">
        <f t="shared" si="13"/>
        <v>-1302080400</v>
      </c>
      <c r="H72" s="1632">
        <f t="shared" si="14"/>
        <v>-0.44177494197642742</v>
      </c>
      <c r="I72" s="1436"/>
    </row>
    <row r="73" spans="1:9" ht="16.5" customHeight="1">
      <c r="A73" s="2172" t="s">
        <v>230</v>
      </c>
      <c r="B73" s="2160" t="s">
        <v>90</v>
      </c>
      <c r="C73" s="1449" t="s">
        <v>147</v>
      </c>
      <c r="D73" s="1609">
        <f>'5-1.은학의집(재가복지)'!D73+'5-2은학의집(요양시설)'!D73</f>
        <v>69000000</v>
      </c>
      <c r="E73" s="1609">
        <f>'5-1.은학의집(재가복지)'!E73+'5-2은학의집(요양시설)'!E73</f>
        <v>294400</v>
      </c>
      <c r="F73" s="1634">
        <f>'5-1.은학의집(재가복지)'!F73+'5-2은학의집(요양시설)'!F73</f>
        <v>370000</v>
      </c>
      <c r="G73" s="1516">
        <f t="shared" si="13"/>
        <v>-68630000</v>
      </c>
      <c r="H73" s="1545">
        <f t="shared" si="14"/>
        <v>-0.99463768115942031</v>
      </c>
      <c r="I73" s="1615" t="s">
        <v>341</v>
      </c>
    </row>
    <row r="74" spans="1:9" ht="16.5" customHeight="1">
      <c r="A74" s="2172"/>
      <c r="B74" s="2160"/>
      <c r="C74" s="1449" t="s">
        <v>90</v>
      </c>
      <c r="D74" s="1609">
        <f>'5-1.은학의집(재가복지)'!D74+'5-2은학의집(요양시설)'!D74</f>
        <v>59000000</v>
      </c>
      <c r="E74" s="1609">
        <f>'5-1.은학의집(재가복지)'!E74+'5-2은학의집(요양시설)'!E74</f>
        <v>0</v>
      </c>
      <c r="F74" s="1609">
        <f>'5-1.은학의집(재가복지)'!F74+'5-2은학의집(요양시설)'!F74</f>
        <v>0</v>
      </c>
      <c r="G74" s="1431">
        <f t="shared" si="13"/>
        <v>-59000000</v>
      </c>
      <c r="H74" s="1545">
        <f t="shared" si="14"/>
        <v>-1</v>
      </c>
      <c r="I74" s="1615" t="s">
        <v>341</v>
      </c>
    </row>
    <row r="75" spans="1:9" ht="16.5" customHeight="1">
      <c r="A75" s="2173"/>
      <c r="B75" s="2175"/>
      <c r="C75" s="1429" t="s">
        <v>99</v>
      </c>
      <c r="D75" s="1609">
        <f>'5-1.은학의집(재가복지)'!D75+'5-2은학의집(요양시설)'!D75</f>
        <v>53674000</v>
      </c>
      <c r="E75" s="1609">
        <f>'5-1.은학의집(재가복지)'!E75+'5-2은학의집(요양시설)'!E75</f>
        <v>14858100</v>
      </c>
      <c r="F75" s="1609">
        <f>'5-1.은학의집(재가복지)'!F75+'5-2은학의집(요양시설)'!F75</f>
        <v>18800000</v>
      </c>
      <c r="G75" s="1431">
        <f t="shared" si="13"/>
        <v>-34874000</v>
      </c>
      <c r="H75" s="1545">
        <f t="shared" si="14"/>
        <v>-0.64973730297723298</v>
      </c>
      <c r="I75" s="1615" t="s">
        <v>341</v>
      </c>
    </row>
    <row r="76" spans="1:9" ht="16.5" customHeight="1" thickBot="1">
      <c r="A76" s="2174"/>
      <c r="B76" s="2198" t="s">
        <v>71</v>
      </c>
      <c r="C76" s="2199"/>
      <c r="D76" s="1518">
        <f>SUM(D73:D75)</f>
        <v>181674000</v>
      </c>
      <c r="E76" s="1518">
        <f t="shared" ref="E76:F76" si="19">SUM(E73:E75)</f>
        <v>15152500</v>
      </c>
      <c r="F76" s="1518">
        <f t="shared" si="19"/>
        <v>19170000</v>
      </c>
      <c r="G76" s="1478">
        <f t="shared" si="13"/>
        <v>-162504000</v>
      </c>
      <c r="H76" s="1513">
        <f t="shared" si="14"/>
        <v>-0.89448132368968591</v>
      </c>
      <c r="I76" s="1436"/>
    </row>
    <row r="77" spans="1:9" ht="16.5" customHeight="1">
      <c r="A77" s="2180" t="s">
        <v>95</v>
      </c>
      <c r="B77" s="2200" t="s">
        <v>77</v>
      </c>
      <c r="C77" s="1519" t="s">
        <v>73</v>
      </c>
      <c r="D77" s="1609">
        <f>'5-1.은학의집(재가복지)'!D77+'5-2은학의집(요양시설)'!D77</f>
        <v>199591240</v>
      </c>
      <c r="E77" s="1609">
        <f>'5-1.은학의집(재가복지)'!E77+'5-2은학의집(요양시설)'!E77</f>
        <v>92536086</v>
      </c>
      <c r="F77" s="1609">
        <f>'5-1.은학의집(재가복지)'!F77+'5-2은학의집(요양시설)'!F77</f>
        <v>94829710</v>
      </c>
      <c r="G77" s="1438">
        <f t="shared" si="13"/>
        <v>-104761530</v>
      </c>
      <c r="H77" s="1586">
        <f t="shared" si="14"/>
        <v>-0.52488040056266994</v>
      </c>
      <c r="I77" s="1615" t="s">
        <v>325</v>
      </c>
    </row>
    <row r="78" spans="1:9" ht="16.5" customHeight="1">
      <c r="A78" s="2178"/>
      <c r="B78" s="2201"/>
      <c r="C78" s="1521" t="s">
        <v>237</v>
      </c>
      <c r="D78" s="1609">
        <f>'5-1.은학의집(재가복지)'!D78+'5-2은학의집(요양시설)'!D78</f>
        <v>52600000</v>
      </c>
      <c r="E78" s="1609">
        <f>'5-1.은학의집(재가복지)'!E78+'5-2은학의집(요양시설)'!E78</f>
        <v>8258550</v>
      </c>
      <c r="F78" s="1609">
        <f>'5-1.은학의집(재가복지)'!F78+'5-2은학의집(요양시설)'!F78</f>
        <v>8300000</v>
      </c>
      <c r="G78" s="1441">
        <f t="shared" si="13"/>
        <v>-44300000</v>
      </c>
      <c r="H78" s="1545">
        <f t="shared" si="14"/>
        <v>-0.84220532319391639</v>
      </c>
      <c r="I78" s="1615" t="s">
        <v>325</v>
      </c>
    </row>
    <row r="79" spans="1:9" ht="16.5" customHeight="1">
      <c r="A79" s="2178"/>
      <c r="B79" s="2201"/>
      <c r="C79" s="1521" t="s">
        <v>87</v>
      </c>
      <c r="D79" s="1609">
        <f>'5-1.은학의집(재가복지)'!D79+'5-2은학의집(요양시설)'!D79</f>
        <v>0</v>
      </c>
      <c r="E79" s="1609">
        <f>'5-1.은학의집(재가복지)'!E79+'5-2은학의집(요양시설)'!E79</f>
        <v>0</v>
      </c>
      <c r="F79" s="1609">
        <f>'5-1.은학의집(재가복지)'!F79+'5-2은학의집(요양시설)'!F79</f>
        <v>0</v>
      </c>
      <c r="G79" s="1441">
        <f t="shared" si="13"/>
        <v>0</v>
      </c>
      <c r="H79" s="1545"/>
      <c r="I79" s="1467"/>
    </row>
    <row r="80" spans="1:9" ht="16.5" customHeight="1">
      <c r="A80" s="2178"/>
      <c r="B80" s="2201"/>
      <c r="C80" s="1522" t="s">
        <v>64</v>
      </c>
      <c r="D80" s="1609">
        <f>'5-1.은학의집(재가복지)'!D80+'5-2은학의집(요양시설)'!D80</f>
        <v>23000000</v>
      </c>
      <c r="E80" s="1609">
        <f>'5-1.은학의집(재가복지)'!E80+'5-2은학의집(요양시설)'!E80</f>
        <v>1695300</v>
      </c>
      <c r="F80" s="1609">
        <f>'5-1.은학의집(재가복지)'!F80+'5-2은학의집(요양시설)'!F80</f>
        <v>1820000</v>
      </c>
      <c r="G80" s="1441">
        <f t="shared" si="13"/>
        <v>-21180000</v>
      </c>
      <c r="H80" s="1545">
        <f t="shared" si="14"/>
        <v>-0.92086956521739127</v>
      </c>
      <c r="I80" s="1615" t="s">
        <v>325</v>
      </c>
    </row>
    <row r="81" spans="1:9" ht="16.5" customHeight="1">
      <c r="A81" s="2178"/>
      <c r="B81" s="2201"/>
      <c r="C81" s="1522" t="s">
        <v>243</v>
      </c>
      <c r="D81" s="1609">
        <f>'5-1.은학의집(재가복지)'!D81+'5-2은학의집(요양시설)'!D81</f>
        <v>34550000</v>
      </c>
      <c r="E81" s="1609">
        <f>'5-1.은학의집(재가복지)'!E81+'5-2은학의집(요양시설)'!E81</f>
        <v>15494530</v>
      </c>
      <c r="F81" s="1609">
        <f>'5-1.은학의집(재가복지)'!F81+'5-2은학의집(요양시설)'!F81</f>
        <v>15540000</v>
      </c>
      <c r="G81" s="1441">
        <f t="shared" si="13"/>
        <v>-19010000</v>
      </c>
      <c r="H81" s="1545">
        <f t="shared" si="14"/>
        <v>-0.55021707670043418</v>
      </c>
      <c r="I81" s="1615" t="s">
        <v>325</v>
      </c>
    </row>
    <row r="82" spans="1:9" ht="16.5" customHeight="1" thickBot="1">
      <c r="A82" s="2178"/>
      <c r="B82" s="2202"/>
      <c r="C82" s="1523" t="s">
        <v>96</v>
      </c>
      <c r="D82" s="1445">
        <f>SUM(D77:D81)</f>
        <v>309741240</v>
      </c>
      <c r="E82" s="1445">
        <f t="shared" ref="E82:F82" si="20">SUM(E77:E81)</f>
        <v>117984466</v>
      </c>
      <c r="F82" s="1445">
        <f t="shared" si="20"/>
        <v>120489710</v>
      </c>
      <c r="G82" s="1445">
        <f t="shared" si="13"/>
        <v>-189251530</v>
      </c>
      <c r="H82" s="1513">
        <f t="shared" si="14"/>
        <v>-0.61099881307377735</v>
      </c>
      <c r="I82" s="1448"/>
    </row>
    <row r="83" spans="1:9" ht="16.5" customHeight="1">
      <c r="A83" s="2178"/>
      <c r="B83" s="2159" t="s">
        <v>95</v>
      </c>
      <c r="C83" s="1449" t="s">
        <v>201</v>
      </c>
      <c r="D83" s="1609">
        <f>'5-1.은학의집(재가복지)'!D83+'5-2은학의집(요양시설)'!D83</f>
        <v>0</v>
      </c>
      <c r="E83" s="1609">
        <f>'5-1.은학의집(재가복지)'!E83+'5-2은학의집(요양시설)'!E83</f>
        <v>0</v>
      </c>
      <c r="F83" s="1609">
        <f>'5-1.은학의집(재가복지)'!F83+'5-2은학의집(요양시설)'!F83</f>
        <v>0</v>
      </c>
      <c r="G83" s="1451">
        <f t="shared" si="13"/>
        <v>0</v>
      </c>
      <c r="H83" s="1545"/>
      <c r="I83" s="1467"/>
    </row>
    <row r="84" spans="1:9" ht="16.5" customHeight="1">
      <c r="A84" s="2178"/>
      <c r="B84" s="2159"/>
      <c r="C84" s="1429" t="s">
        <v>132</v>
      </c>
      <c r="D84" s="1609">
        <f>'5-1.은학의집(재가복지)'!D84+'5-2은학의집(요양시설)'!D84</f>
        <v>0</v>
      </c>
      <c r="E84" s="1609">
        <f>'5-1.은학의집(재가복지)'!E84+'5-2은학의집(요양시설)'!E84</f>
        <v>0</v>
      </c>
      <c r="F84" s="1609">
        <f>'5-1.은학의집(재가복지)'!F84+'5-2은학의집(요양시설)'!F84</f>
        <v>0</v>
      </c>
      <c r="G84" s="1441">
        <f t="shared" si="13"/>
        <v>0</v>
      </c>
      <c r="H84" s="1545"/>
      <c r="I84" s="1462"/>
    </row>
    <row r="85" spans="1:9" ht="16.5" customHeight="1">
      <c r="A85" s="2178"/>
      <c r="B85" s="2159"/>
      <c r="C85" s="1429" t="s">
        <v>144</v>
      </c>
      <c r="D85" s="1609">
        <f>'5-1.은학의집(재가복지)'!D85+'5-2은학의집(요양시설)'!D85</f>
        <v>0</v>
      </c>
      <c r="E85" s="1609">
        <f>'5-1.은학의집(재가복지)'!E85+'5-2은학의집(요양시설)'!E85</f>
        <v>0</v>
      </c>
      <c r="F85" s="1609">
        <f>'5-1.은학의집(재가복지)'!F85+'5-2은학의집(요양시설)'!F85</f>
        <v>0</v>
      </c>
      <c r="G85" s="1441">
        <f t="shared" si="13"/>
        <v>0</v>
      </c>
      <c r="H85" s="1545"/>
      <c r="I85" s="1462"/>
    </row>
    <row r="86" spans="1:9" ht="16.5" customHeight="1">
      <c r="A86" s="2178"/>
      <c r="B86" s="2159"/>
      <c r="C86" s="1429" t="s">
        <v>107</v>
      </c>
      <c r="D86" s="1609">
        <f>'5-1.은학의집(재가복지)'!D86+'5-2은학의집(요양시설)'!D86</f>
        <v>0</v>
      </c>
      <c r="E86" s="1609">
        <f>'5-1.은학의집(재가복지)'!E86+'5-2은학의집(요양시설)'!E86</f>
        <v>0</v>
      </c>
      <c r="F86" s="1609">
        <f>'5-1.은학의집(재가복지)'!F86+'5-2은학의집(요양시설)'!F86</f>
        <v>0</v>
      </c>
      <c r="G86" s="1441">
        <f t="shared" si="13"/>
        <v>0</v>
      </c>
      <c r="H86" s="1545"/>
      <c r="I86" s="1462"/>
    </row>
    <row r="87" spans="1:9" ht="16.5" customHeight="1">
      <c r="A87" s="2178"/>
      <c r="B87" s="2159"/>
      <c r="C87" s="1429" t="s">
        <v>113</v>
      </c>
      <c r="D87" s="1609">
        <f>'5-1.은학의집(재가복지)'!D87+'5-2은학의집(요양시설)'!D87</f>
        <v>0</v>
      </c>
      <c r="E87" s="1609">
        <f>'5-1.은학의집(재가복지)'!E87+'5-2은학의집(요양시설)'!E87</f>
        <v>0</v>
      </c>
      <c r="F87" s="1609">
        <f>'5-1.은학의집(재가복지)'!F87+'5-2은학의집(요양시설)'!F87</f>
        <v>0</v>
      </c>
      <c r="G87" s="1441">
        <f t="shared" si="13"/>
        <v>0</v>
      </c>
      <c r="H87" s="1545"/>
      <c r="I87" s="1462"/>
    </row>
    <row r="88" spans="1:9" ht="16.5" customHeight="1">
      <c r="A88" s="2178"/>
      <c r="B88" s="2159"/>
      <c r="C88" s="1429" t="s">
        <v>109</v>
      </c>
      <c r="D88" s="1609">
        <f>'5-1.은학의집(재가복지)'!D88+'5-2은학의집(요양시설)'!D88</f>
        <v>0</v>
      </c>
      <c r="E88" s="1609">
        <f>'5-1.은학의집(재가복지)'!E88+'5-2은학의집(요양시설)'!E88</f>
        <v>0</v>
      </c>
      <c r="F88" s="1609">
        <f>'5-1.은학의집(재가복지)'!F88+'5-2은학의집(요양시설)'!F88</f>
        <v>0</v>
      </c>
      <c r="G88" s="1441">
        <f t="shared" si="13"/>
        <v>0</v>
      </c>
      <c r="H88" s="1545"/>
      <c r="I88" s="1462"/>
    </row>
    <row r="89" spans="1:9" ht="16.5" customHeight="1">
      <c r="A89" s="2178"/>
      <c r="B89" s="2159"/>
      <c r="C89" s="1429" t="s">
        <v>122</v>
      </c>
      <c r="D89" s="1609">
        <f>'5-1.은학의집(재가복지)'!D89+'5-2은학의집(요양시설)'!D89</f>
        <v>0</v>
      </c>
      <c r="E89" s="1609">
        <f>'5-1.은학의집(재가복지)'!E89+'5-2은학의집(요양시설)'!E89</f>
        <v>0</v>
      </c>
      <c r="F89" s="1609">
        <f>'5-1.은학의집(재가복지)'!F89+'5-2은학의집(요양시설)'!F89</f>
        <v>0</v>
      </c>
      <c r="G89" s="1441">
        <f t="shared" si="13"/>
        <v>0</v>
      </c>
      <c r="H89" s="1545"/>
      <c r="I89" s="1462"/>
    </row>
    <row r="90" spans="1:9" ht="16.5" customHeight="1">
      <c r="A90" s="2178"/>
      <c r="B90" s="2159"/>
      <c r="C90" s="1429" t="s">
        <v>135</v>
      </c>
      <c r="D90" s="1609">
        <f>'5-1.은학의집(재가복지)'!D90+'5-2은학의집(요양시설)'!D90</f>
        <v>0</v>
      </c>
      <c r="E90" s="1609">
        <f>'5-1.은학의집(재가복지)'!E90+'5-2은학의집(요양시설)'!E90</f>
        <v>0</v>
      </c>
      <c r="F90" s="1609">
        <f>'5-1.은학의집(재가복지)'!F90+'5-2은학의집(요양시설)'!F90</f>
        <v>0</v>
      </c>
      <c r="G90" s="1441">
        <f t="shared" si="13"/>
        <v>0</v>
      </c>
      <c r="H90" s="1545"/>
      <c r="I90" s="1462"/>
    </row>
    <row r="91" spans="1:9" ht="16.5" customHeight="1">
      <c r="A91" s="2178"/>
      <c r="B91" s="2159"/>
      <c r="C91" s="1429" t="s">
        <v>205</v>
      </c>
      <c r="D91" s="1609">
        <f>'5-1.은학의집(재가복지)'!D91+'5-2은학의집(요양시설)'!D91</f>
        <v>0</v>
      </c>
      <c r="E91" s="1609">
        <f>'5-1.은학의집(재가복지)'!E91+'5-2은학의집(요양시설)'!E91</f>
        <v>0</v>
      </c>
      <c r="F91" s="1609">
        <f>'5-1.은학의집(재가복지)'!F91+'5-2은학의집(요양시설)'!F91</f>
        <v>0</v>
      </c>
      <c r="G91" s="1441">
        <f t="shared" si="13"/>
        <v>0</v>
      </c>
      <c r="H91" s="1545"/>
      <c r="I91" s="1462"/>
    </row>
    <row r="92" spans="1:9" ht="16.5" customHeight="1">
      <c r="A92" s="2178"/>
      <c r="B92" s="2159"/>
      <c r="C92" s="1429" t="s">
        <v>227</v>
      </c>
      <c r="D92" s="1609">
        <f>'5-1.은학의집(재가복지)'!D92+'5-2은학의집(요양시설)'!D92</f>
        <v>0</v>
      </c>
      <c r="E92" s="1609">
        <f>'5-1.은학의집(재가복지)'!E92+'5-2은학의집(요양시설)'!E92</f>
        <v>0</v>
      </c>
      <c r="F92" s="1609">
        <f>'5-1.은학의집(재가복지)'!F92+'5-2은학의집(요양시설)'!F92</f>
        <v>0</v>
      </c>
      <c r="G92" s="1441">
        <f t="shared" si="13"/>
        <v>0</v>
      </c>
      <c r="H92" s="1545"/>
      <c r="I92" s="1462"/>
    </row>
    <row r="93" spans="1:9" ht="16.5" customHeight="1">
      <c r="A93" s="2178"/>
      <c r="B93" s="2159"/>
      <c r="C93" s="1429" t="s">
        <v>240</v>
      </c>
      <c r="D93" s="1609">
        <f>'5-1.은학의집(재가복지)'!D93+'5-2은학의집(요양시설)'!D93</f>
        <v>102330000</v>
      </c>
      <c r="E93" s="1609">
        <f>'5-1.은학의집(재가복지)'!E93+'5-2은학의집(요양시설)'!E93</f>
        <v>29711340</v>
      </c>
      <c r="F93" s="1609">
        <f>'5-1.은학의집(재가복지)'!F93+'5-2은학의집(요양시설)'!F93</f>
        <v>30210000</v>
      </c>
      <c r="G93" s="1441">
        <f t="shared" si="13"/>
        <v>-72120000</v>
      </c>
      <c r="H93" s="1545">
        <f t="shared" si="14"/>
        <v>-0.70477865728525357</v>
      </c>
      <c r="I93" s="1615" t="s">
        <v>341</v>
      </c>
    </row>
    <row r="94" spans="1:9" ht="16.5" customHeight="1">
      <c r="A94" s="2178"/>
      <c r="B94" s="2159"/>
      <c r="C94" s="1429" t="s">
        <v>245</v>
      </c>
      <c r="D94" s="1609">
        <f>'5-1.은학의집(재가복지)'!D94+'5-2은학의집(요양시설)'!D94</f>
        <v>4300000</v>
      </c>
      <c r="E94" s="1609">
        <f>'5-1.은학의집(재가복지)'!E94+'5-2은학의집(요양시설)'!E94</f>
        <v>683500</v>
      </c>
      <c r="F94" s="1609">
        <f>'5-1.은학의집(재가복지)'!F94+'5-2은학의집(요양시설)'!F94</f>
        <v>700000</v>
      </c>
      <c r="G94" s="1441">
        <f t="shared" si="13"/>
        <v>-3600000</v>
      </c>
      <c r="H94" s="1545">
        <f t="shared" si="14"/>
        <v>-0.83720930232558144</v>
      </c>
      <c r="I94" s="1615" t="s">
        <v>342</v>
      </c>
    </row>
    <row r="95" spans="1:9" ht="16.5" customHeight="1">
      <c r="A95" s="2178"/>
      <c r="B95" s="2159"/>
      <c r="C95" s="1429" t="s">
        <v>228</v>
      </c>
      <c r="D95" s="1609">
        <f>'5-1.은학의집(재가복지)'!D95+'5-2은학의집(요양시설)'!D95</f>
        <v>38000000</v>
      </c>
      <c r="E95" s="1609">
        <f>'5-1.은학의집(재가복지)'!E95+'5-2은학의집(요양시설)'!E95</f>
        <v>0</v>
      </c>
      <c r="F95" s="1609">
        <f>'5-1.은학의집(재가복지)'!F95+'5-2은학의집(요양시설)'!F95</f>
        <v>300000</v>
      </c>
      <c r="G95" s="1441">
        <f t="shared" si="13"/>
        <v>-37700000</v>
      </c>
      <c r="H95" s="1545">
        <f t="shared" si="14"/>
        <v>-0.99210526315789471</v>
      </c>
      <c r="I95" s="1615" t="s">
        <v>342</v>
      </c>
    </row>
    <row r="96" spans="1:9" ht="16.5" customHeight="1">
      <c r="A96" s="2178"/>
      <c r="B96" s="2159"/>
      <c r="C96" s="1429" t="s">
        <v>125</v>
      </c>
      <c r="D96" s="1609">
        <f>'5-1.은학의집(재가복지)'!D96+'5-2은학의집(요양시설)'!D96</f>
        <v>3200000</v>
      </c>
      <c r="E96" s="1609">
        <f>'5-1.은학의집(재가복지)'!E96+'5-2은학의집(요양시설)'!E96</f>
        <v>256060</v>
      </c>
      <c r="F96" s="1609">
        <f>'5-1.은학의집(재가복지)'!F96+'5-2은학의집(요양시설)'!F96</f>
        <v>360000</v>
      </c>
      <c r="G96" s="1441">
        <f t="shared" si="13"/>
        <v>-2840000</v>
      </c>
      <c r="H96" s="1545">
        <f t="shared" si="14"/>
        <v>-0.88749999999999996</v>
      </c>
      <c r="I96" s="1615" t="s">
        <v>343</v>
      </c>
    </row>
    <row r="97" spans="1:9" ht="16.5" customHeight="1">
      <c r="A97" s="2178"/>
      <c r="B97" s="2159"/>
      <c r="C97" s="1429" t="s">
        <v>254</v>
      </c>
      <c r="D97" s="1609">
        <f>'5-1.은학의집(재가복지)'!D97+'5-2은학의집(요양시설)'!D97</f>
        <v>68080000</v>
      </c>
      <c r="E97" s="1609">
        <f>'5-1.은학의집(재가복지)'!E97+'5-2은학의집(요양시설)'!E97</f>
        <v>658864</v>
      </c>
      <c r="F97" s="1609">
        <f>'5-1.은학의집(재가복지)'!F97+'5-2은학의집(요양시설)'!F97</f>
        <v>1010000</v>
      </c>
      <c r="G97" s="1441">
        <f t="shared" si="13"/>
        <v>-67070000</v>
      </c>
      <c r="H97" s="1545">
        <f t="shared" si="14"/>
        <v>-0.98516451233842539</v>
      </c>
      <c r="I97" s="1615" t="s">
        <v>341</v>
      </c>
    </row>
    <row r="98" spans="1:9" ht="16.5" customHeight="1">
      <c r="A98" s="2178"/>
      <c r="B98" s="2159"/>
      <c r="C98" s="1429" t="s">
        <v>127</v>
      </c>
      <c r="D98" s="1609">
        <f>'5-1.은학의집(재가복지)'!D98+'5-2은학의집(요양시설)'!D98</f>
        <v>2000000</v>
      </c>
      <c r="E98" s="1609">
        <f>'5-1.은학의집(재가복지)'!E98+'5-2은학의집(요양시설)'!E98</f>
        <v>4105050</v>
      </c>
      <c r="F98" s="1609">
        <f>'5-1.은학의집(재가복지)'!F98+'5-2은학의집(요양시설)'!F98</f>
        <v>5000000</v>
      </c>
      <c r="G98" s="1441">
        <f t="shared" si="13"/>
        <v>3000000</v>
      </c>
      <c r="H98" s="1545">
        <f t="shared" si="14"/>
        <v>1.5</v>
      </c>
      <c r="I98" s="1615" t="s">
        <v>342</v>
      </c>
    </row>
    <row r="99" spans="1:9" ht="16.5" customHeight="1">
      <c r="A99" s="2178"/>
      <c r="B99" s="2159"/>
      <c r="C99" s="1429" t="s">
        <v>140</v>
      </c>
      <c r="D99" s="1609">
        <f>'5-1.은학의집(재가복지)'!D99+'5-2은학의집(요양시설)'!D99</f>
        <v>0</v>
      </c>
      <c r="E99" s="1609">
        <f>'5-1.은학의집(재가복지)'!E99+'5-2은학의집(요양시설)'!E99</f>
        <v>0</v>
      </c>
      <c r="F99" s="1609">
        <f>'5-1.은학의집(재가복지)'!F99+'5-2은학의집(요양시설)'!F99</f>
        <v>0</v>
      </c>
      <c r="G99" s="1441">
        <f t="shared" si="13"/>
        <v>0</v>
      </c>
      <c r="H99" s="1545"/>
      <c r="I99" s="1615"/>
    </row>
    <row r="100" spans="1:9" ht="16.5" customHeight="1">
      <c r="A100" s="2178"/>
      <c r="B100" s="2159"/>
      <c r="C100" s="1429" t="s">
        <v>215</v>
      </c>
      <c r="D100" s="1609">
        <f>'5-1.은학의집(재가복지)'!D100+'5-2은학의집(요양시설)'!D100</f>
        <v>30400000</v>
      </c>
      <c r="E100" s="1609">
        <f>'5-1.은학의집(재가복지)'!E100+'5-2은학의집(요양시설)'!E100</f>
        <v>3973570</v>
      </c>
      <c r="F100" s="1609">
        <f>'5-1.은학의집(재가복지)'!F100+'5-2은학의집(요양시설)'!F100</f>
        <v>4145000</v>
      </c>
      <c r="G100" s="1441">
        <f t="shared" si="13"/>
        <v>-26255000</v>
      </c>
      <c r="H100" s="1545">
        <f t="shared" si="14"/>
        <v>-0.86365131578947374</v>
      </c>
      <c r="I100" s="1615" t="s">
        <v>342</v>
      </c>
    </row>
    <row r="101" spans="1:9" ht="16.5" customHeight="1">
      <c r="A101" s="2178"/>
      <c r="B101" s="2159"/>
      <c r="C101" s="1429" t="s">
        <v>185</v>
      </c>
      <c r="D101" s="1609">
        <f>'5-1.은학의집(재가복지)'!D101+'5-2은학의집(요양시설)'!D101</f>
        <v>0</v>
      </c>
      <c r="E101" s="1609">
        <f>'5-1.은학의집(재가복지)'!E101+'5-2은학의집(요양시설)'!E101</f>
        <v>0</v>
      </c>
      <c r="F101" s="1609">
        <f>'5-1.은학의집(재가복지)'!F101+'5-2은학의집(요양시설)'!F101</f>
        <v>0</v>
      </c>
      <c r="G101" s="1441">
        <f t="shared" si="13"/>
        <v>0</v>
      </c>
      <c r="H101" s="1545"/>
      <c r="I101" s="1462"/>
    </row>
    <row r="102" spans="1:9" ht="16.5" customHeight="1">
      <c r="A102" s="2178"/>
      <c r="B102" s="2159"/>
      <c r="C102" s="1429" t="s">
        <v>134</v>
      </c>
      <c r="D102" s="1609">
        <f>'5-1.은학의집(재가복지)'!D102+'5-2은학의집(요양시설)'!D102</f>
        <v>0</v>
      </c>
      <c r="E102" s="1609">
        <f>'5-1.은학의집(재가복지)'!E102+'5-2은학의집(요양시설)'!E102</f>
        <v>0</v>
      </c>
      <c r="F102" s="1609">
        <f>'5-1.은학의집(재가복지)'!F102+'5-2은학의집(요양시설)'!F102</f>
        <v>0</v>
      </c>
      <c r="G102" s="1441">
        <f t="shared" si="13"/>
        <v>0</v>
      </c>
      <c r="H102" s="1545"/>
      <c r="I102" s="1462"/>
    </row>
    <row r="103" spans="1:9" ht="16.5" customHeight="1">
      <c r="A103" s="2178"/>
      <c r="B103" s="2159"/>
      <c r="C103" s="1429" t="s">
        <v>222</v>
      </c>
      <c r="D103" s="1609">
        <f>'5-1.은학의집(재가복지)'!D103+'5-2은학의집(요양시설)'!D103</f>
        <v>0</v>
      </c>
      <c r="E103" s="1609">
        <f>'5-1.은학의집(재가복지)'!E103+'5-2은학의집(요양시설)'!E103</f>
        <v>0</v>
      </c>
      <c r="F103" s="1609">
        <f>'5-1.은학의집(재가복지)'!F103+'5-2은학의집(요양시설)'!F103</f>
        <v>0</v>
      </c>
      <c r="G103" s="1441">
        <f t="shared" si="13"/>
        <v>0</v>
      </c>
      <c r="H103" s="1545"/>
      <c r="I103" s="1462"/>
    </row>
    <row r="104" spans="1:9" ht="16.5" customHeight="1">
      <c r="A104" s="2178"/>
      <c r="B104" s="2159"/>
      <c r="C104" s="1429" t="s">
        <v>255</v>
      </c>
      <c r="D104" s="1609">
        <f>'5-1.은학의집(재가복지)'!D104+'5-2은학의집(요양시설)'!D104</f>
        <v>0</v>
      </c>
      <c r="E104" s="1609">
        <f>'5-1.은학의집(재가복지)'!E104+'5-2은학의집(요양시설)'!E104</f>
        <v>0</v>
      </c>
      <c r="F104" s="1609">
        <f>'5-1.은학의집(재가복지)'!F104+'5-2은학의집(요양시설)'!F104</f>
        <v>0</v>
      </c>
      <c r="G104" s="1441">
        <f t="shared" si="13"/>
        <v>0</v>
      </c>
      <c r="H104" s="1545"/>
      <c r="I104" s="1462"/>
    </row>
    <row r="105" spans="1:9" ht="16.5" customHeight="1" thickBot="1">
      <c r="A105" s="2178"/>
      <c r="B105" s="2160"/>
      <c r="C105" s="1598" t="s">
        <v>96</v>
      </c>
      <c r="D105" s="1445">
        <f>SUM(D83:D104)</f>
        <v>248310000</v>
      </c>
      <c r="E105" s="1445">
        <f>SUM(E83:E104)</f>
        <v>39388384</v>
      </c>
      <c r="F105" s="1445">
        <f>SUM(F83:F104)</f>
        <v>41725000</v>
      </c>
      <c r="G105" s="1445">
        <f t="shared" si="13"/>
        <v>-206585000</v>
      </c>
      <c r="H105" s="1513">
        <f t="shared" si="14"/>
        <v>-0.83196407716161247</v>
      </c>
      <c r="I105" s="1480"/>
    </row>
    <row r="106" spans="1:9" ht="16.5" customHeight="1" thickBot="1">
      <c r="A106" s="2179"/>
      <c r="B106" s="2161" t="s">
        <v>71</v>
      </c>
      <c r="C106" s="2203"/>
      <c r="D106" s="1599">
        <f>SUM(D82,D105)</f>
        <v>558051240</v>
      </c>
      <c r="E106" s="1599">
        <f>SUM(E82,E105)</f>
        <v>157372850</v>
      </c>
      <c r="F106" s="1599">
        <f>SUM(F82,F105)</f>
        <v>162214710</v>
      </c>
      <c r="G106" s="1478">
        <f t="shared" si="13"/>
        <v>-395836530</v>
      </c>
      <c r="H106" s="1513">
        <f t="shared" si="14"/>
        <v>-0.70931932702093803</v>
      </c>
      <c r="I106" s="1600"/>
    </row>
    <row r="107" spans="1:9" ht="16.5" customHeight="1">
      <c r="A107" s="2178" t="s">
        <v>344</v>
      </c>
      <c r="B107" s="1530" t="s">
        <v>344</v>
      </c>
      <c r="C107" s="1498" t="s">
        <v>345</v>
      </c>
      <c r="D107" s="1609">
        <f>'5-1.은학의집(재가복지)'!D107+'5-2은학의집(요양시설)'!D107</f>
        <v>0</v>
      </c>
      <c r="E107" s="1609">
        <f>'5-1.은학의집(재가복지)'!E107+'5-2은학의집(요양시설)'!E107</f>
        <v>0</v>
      </c>
      <c r="F107" s="1609">
        <f>'5-1.은학의집(재가복지)'!F107+'5-2은학의집(요양시설)'!F107</f>
        <v>541000000</v>
      </c>
      <c r="G107" s="1431">
        <f t="shared" si="13"/>
        <v>541000000</v>
      </c>
      <c r="H107" s="1545">
        <v>1</v>
      </c>
      <c r="I107" s="1617" t="s">
        <v>346</v>
      </c>
    </row>
    <row r="108" spans="1:9" ht="16.5" customHeight="1" thickBot="1">
      <c r="A108" s="2179"/>
      <c r="B108" s="2181" t="s">
        <v>71</v>
      </c>
      <c r="C108" s="2182"/>
      <c r="D108" s="1531">
        <f>D107</f>
        <v>0</v>
      </c>
      <c r="E108" s="1531">
        <f t="shared" ref="E108:F108" si="21">E107</f>
        <v>0</v>
      </c>
      <c r="F108" s="1531">
        <f t="shared" si="21"/>
        <v>541000000</v>
      </c>
      <c r="G108" s="1470">
        <f t="shared" si="13"/>
        <v>541000000</v>
      </c>
      <c r="H108" s="1470">
        <v>1</v>
      </c>
      <c r="I108" s="1458"/>
    </row>
    <row r="109" spans="1:9" ht="16.5" customHeight="1">
      <c r="A109" s="2178" t="s">
        <v>80</v>
      </c>
      <c r="B109" s="1530" t="s">
        <v>80</v>
      </c>
      <c r="C109" s="1498" t="s">
        <v>80</v>
      </c>
      <c r="D109" s="1609">
        <f>'5-1.은학의집(재가복지)'!D109+'5-2은학의집(요양시설)'!D109</f>
        <v>4500000</v>
      </c>
      <c r="E109" s="1609">
        <f>'5-1.은학의집(재가복지)'!E109+'5-2은학의집(요양시설)'!E109</f>
        <v>100000</v>
      </c>
      <c r="F109" s="1609">
        <f>'5-1.은학의집(재가복지)'!F109+'5-2은학의집(요양시설)'!F109</f>
        <v>900000</v>
      </c>
      <c r="G109" s="1431">
        <f t="shared" si="13"/>
        <v>-3600000</v>
      </c>
      <c r="H109" s="1545">
        <f t="shared" si="14"/>
        <v>-0.8</v>
      </c>
      <c r="I109" s="1617" t="s">
        <v>347</v>
      </c>
    </row>
    <row r="110" spans="1:9" ht="16.5" customHeight="1" thickBot="1">
      <c r="A110" s="2179"/>
      <c r="B110" s="2181" t="s">
        <v>71</v>
      </c>
      <c r="C110" s="2182"/>
      <c r="D110" s="1518">
        <f>D109</f>
        <v>4500000</v>
      </c>
      <c r="E110" s="1518">
        <f t="shared" ref="E110:F110" si="22">E109</f>
        <v>100000</v>
      </c>
      <c r="F110" s="1518">
        <f t="shared" si="22"/>
        <v>900000</v>
      </c>
      <c r="G110" s="1478">
        <f t="shared" si="13"/>
        <v>-3600000</v>
      </c>
      <c r="H110" s="1478">
        <f t="shared" si="14"/>
        <v>-0.8</v>
      </c>
      <c r="I110" s="1458"/>
    </row>
    <row r="111" spans="1:9" ht="16.5" customHeight="1">
      <c r="A111" s="2204" t="s">
        <v>131</v>
      </c>
      <c r="B111" s="2160" t="s">
        <v>131</v>
      </c>
      <c r="C111" s="1449" t="s">
        <v>79</v>
      </c>
      <c r="D111" s="1609">
        <f>'5-1.은학의집(재가복지)'!D111+'5-2은학의집(요양시설)'!D111</f>
        <v>689501</v>
      </c>
      <c r="E111" s="1609">
        <f>'5-1.은학의집(재가복지)'!E111+'5-2은학의집(요양시설)'!E111</f>
        <v>0</v>
      </c>
      <c r="F111" s="1609">
        <f>'5-1.은학의집(재가복지)'!F111+'5-2은학의집(요양시설)'!F111</f>
        <v>2093889</v>
      </c>
      <c r="G111" s="1431">
        <f t="shared" si="13"/>
        <v>1404388</v>
      </c>
      <c r="H111" s="1545">
        <f t="shared" si="14"/>
        <v>2.0368179306483967</v>
      </c>
      <c r="I111" s="1617" t="s">
        <v>348</v>
      </c>
    </row>
    <row r="112" spans="1:9" ht="16.5" customHeight="1">
      <c r="A112" s="2204"/>
      <c r="B112" s="2175"/>
      <c r="C112" s="1429" t="s">
        <v>63</v>
      </c>
      <c r="D112" s="1609">
        <f>'5-1.은학의집(재가복지)'!D112+'5-2은학의집(요양시설)'!D112</f>
        <v>0</v>
      </c>
      <c r="E112" s="1609">
        <f>'5-1.은학의집(재가복지)'!E112+'5-2은학의집(요양시설)'!E112</f>
        <v>1615079</v>
      </c>
      <c r="F112" s="1609">
        <f>'5-1.은학의집(재가복지)'!F112+'5-2은학의집(요양시설)'!F112</f>
        <v>1616542</v>
      </c>
      <c r="G112" s="1431">
        <f t="shared" si="13"/>
        <v>1616542</v>
      </c>
      <c r="H112" s="1545"/>
      <c r="I112" s="1617" t="s">
        <v>349</v>
      </c>
    </row>
    <row r="113" spans="1:9" ht="16.5" customHeight="1" thickBot="1">
      <c r="A113" s="2205"/>
      <c r="B113" s="2187" t="s">
        <v>71</v>
      </c>
      <c r="C113" s="2188"/>
      <c r="D113" s="1513">
        <f>SUM(D111:D112)</f>
        <v>689501</v>
      </c>
      <c r="E113" s="1513">
        <f t="shared" ref="E113:F113" si="23">SUM(E111:E112)</f>
        <v>1615079</v>
      </c>
      <c r="F113" s="1513">
        <f t="shared" si="23"/>
        <v>3710431</v>
      </c>
      <c r="G113" s="1534">
        <f t="shared" si="13"/>
        <v>3020930</v>
      </c>
      <c r="H113" s="1601">
        <f t="shared" si="14"/>
        <v>4.3813279458622976</v>
      </c>
      <c r="I113" s="1458"/>
    </row>
    <row r="114" spans="1:9" ht="16.5" customHeight="1">
      <c r="A114" s="2206" t="s">
        <v>129</v>
      </c>
      <c r="B114" s="2209" t="s">
        <v>56</v>
      </c>
      <c r="C114" s="1496" t="s">
        <v>152</v>
      </c>
      <c r="D114" s="1609">
        <f>'5-1.은학의집(재가복지)'!D114+'5-2은학의집(요양시설)'!D114</f>
        <v>18000000</v>
      </c>
      <c r="E114" s="1609">
        <f>'5-1.은학의집(재가복지)'!E114+'5-2은학의집(요양시설)'!E114</f>
        <v>18000000</v>
      </c>
      <c r="F114" s="1609">
        <f>'5-1.은학의집(재가복지)'!F114+'5-2은학의집(요양시설)'!F114</f>
        <v>18000000</v>
      </c>
      <c r="G114" s="1481">
        <f t="shared" si="13"/>
        <v>0</v>
      </c>
      <c r="H114" s="1586">
        <f t="shared" ref="H114:H121" si="24">IF(ISERR(G114/D114),0,G114/D114)</f>
        <v>0</v>
      </c>
      <c r="I114" s="1543"/>
    </row>
    <row r="115" spans="1:9" ht="16.5" customHeight="1">
      <c r="A115" s="2207"/>
      <c r="B115" s="2210"/>
      <c r="C115" s="1429" t="s">
        <v>139</v>
      </c>
      <c r="D115" s="1609">
        <f>'5-1.은학의집(재가복지)'!D115+'5-2은학의집(요양시설)'!D115</f>
        <v>18000000</v>
      </c>
      <c r="E115" s="1609">
        <f>'5-1.은학의집(재가복지)'!E115+'5-2은학의집(요양시설)'!E115</f>
        <v>18000000</v>
      </c>
      <c r="F115" s="1609">
        <f>'5-1.은학의집(재가복지)'!F115+'5-2은학의집(요양시설)'!F115</f>
        <v>18000000</v>
      </c>
      <c r="G115" s="1431">
        <f t="shared" si="13"/>
        <v>0</v>
      </c>
      <c r="H115" s="1545">
        <f t="shared" si="24"/>
        <v>0</v>
      </c>
      <c r="I115" s="1544"/>
    </row>
    <row r="116" spans="1:9" ht="16.5" customHeight="1" thickBot="1">
      <c r="A116" s="2208"/>
      <c r="B116" s="2187" t="s">
        <v>71</v>
      </c>
      <c r="C116" s="2188"/>
      <c r="D116" s="1513">
        <f>SUM(D114:D115)</f>
        <v>36000000</v>
      </c>
      <c r="E116" s="1513">
        <f t="shared" ref="E116:F116" si="25">SUM(E114:E115)</f>
        <v>36000000</v>
      </c>
      <c r="F116" s="1513">
        <f t="shared" si="25"/>
        <v>36000000</v>
      </c>
      <c r="G116" s="1478">
        <f t="shared" si="13"/>
        <v>0</v>
      </c>
      <c r="H116" s="1456">
        <f t="shared" si="24"/>
        <v>0</v>
      </c>
      <c r="I116" s="1458"/>
    </row>
    <row r="117" spans="1:9" ht="16.5" customHeight="1">
      <c r="A117" s="2207" t="s">
        <v>288</v>
      </c>
      <c r="B117" s="2211" t="s">
        <v>56</v>
      </c>
      <c r="C117" s="1449" t="s">
        <v>142</v>
      </c>
      <c r="D117" s="1609">
        <f>'5-1.은학의집(재가복지)'!D117+'5-2은학의집(요양시설)'!D117</f>
        <v>264046614</v>
      </c>
      <c r="E117" s="1609">
        <f>'5-1.은학의집(재가복지)'!E117+'5-2은학의집(요양시설)'!E117</f>
        <v>0</v>
      </c>
      <c r="F117" s="1609">
        <f>'5-1.은학의집(재가복지)'!F117+'5-2은학의집(요양시설)'!F117</f>
        <v>264046614</v>
      </c>
      <c r="G117" s="1431">
        <f t="shared" si="13"/>
        <v>0</v>
      </c>
      <c r="H117" s="1431">
        <f t="shared" si="24"/>
        <v>0</v>
      </c>
      <c r="I117" s="1506"/>
    </row>
    <row r="118" spans="1:9" ht="16.5" customHeight="1">
      <c r="A118" s="2207"/>
      <c r="B118" s="2210"/>
      <c r="C118" s="1429" t="s">
        <v>277</v>
      </c>
      <c r="D118" s="1609">
        <f>'5-1.은학의집(재가복지)'!D118+'5-2은학의집(요양시설)'!D118</f>
        <v>257654635</v>
      </c>
      <c r="E118" s="1609">
        <f>'5-1.은학의집(재가복지)'!E118+'5-2은학의집(요양시설)'!E118</f>
        <v>0</v>
      </c>
      <c r="F118" s="1609">
        <f>'5-1.은학의집(재가복지)'!F118+'5-2은학의집(요양시설)'!F118</f>
        <v>257654635</v>
      </c>
      <c r="G118" s="1545">
        <f t="shared" si="13"/>
        <v>0</v>
      </c>
      <c r="H118" s="1605">
        <f t="shared" si="24"/>
        <v>0</v>
      </c>
      <c r="I118" s="1544"/>
    </row>
    <row r="119" spans="1:9" ht="16.5" customHeight="1" thickBot="1">
      <c r="A119" s="2208"/>
      <c r="B119" s="2187" t="s">
        <v>71</v>
      </c>
      <c r="C119" s="2188"/>
      <c r="D119" s="1513">
        <f>SUM(D117:D118)</f>
        <v>521701249</v>
      </c>
      <c r="E119" s="1513">
        <f t="shared" ref="E119:F119" si="26">SUM(E117:E118)</f>
        <v>0</v>
      </c>
      <c r="F119" s="1513">
        <f t="shared" si="26"/>
        <v>521701249</v>
      </c>
      <c r="G119" s="1478">
        <f t="shared" si="13"/>
        <v>0</v>
      </c>
      <c r="H119" s="1478">
        <f t="shared" si="24"/>
        <v>0</v>
      </c>
      <c r="I119" s="1458"/>
    </row>
    <row r="120" spans="1:9" ht="16.5" customHeight="1" thickBot="1">
      <c r="A120" s="1546" t="s">
        <v>165</v>
      </c>
      <c r="B120" s="1547" t="s">
        <v>165</v>
      </c>
      <c r="C120" s="1548" t="s">
        <v>160</v>
      </c>
      <c r="D120" s="1609">
        <f>'5-1.은학의집(재가복지)'!D120+'5-2은학의집(요양시설)'!D120</f>
        <v>0</v>
      </c>
      <c r="E120" s="1609">
        <f>'5-1.은학의집(재가복지)'!E120+'5-2은학의집(요양시설)'!E120</f>
        <v>1195193670</v>
      </c>
      <c r="F120" s="1609">
        <f>'5-1.은학의집(재가복지)'!F120+'5-2은학의집(요양시설)'!F120</f>
        <v>0</v>
      </c>
      <c r="G120" s="1434">
        <f t="shared" ref="G120:G121" si="27">F120-D120</f>
        <v>0</v>
      </c>
      <c r="H120" s="1635">
        <f t="shared" si="24"/>
        <v>0</v>
      </c>
      <c r="I120" s="1554"/>
    </row>
    <row r="121" spans="1:9" ht="18" thickBot="1">
      <c r="A121" s="2191" t="s">
        <v>76</v>
      </c>
      <c r="B121" s="2192"/>
      <c r="C121" s="2193"/>
      <c r="D121" s="1555">
        <f>SUM(D72,D76,D106,D110,D113,D120,D119,D116,D108)</f>
        <v>4250000000</v>
      </c>
      <c r="E121" s="1555">
        <f t="shared" ref="E121:F121" si="28">SUM(E72,E76,E106,E110,E113,E120,E119,E116,E108)</f>
        <v>2882471113</v>
      </c>
      <c r="F121" s="1555">
        <f t="shared" si="28"/>
        <v>2930000000</v>
      </c>
      <c r="G121" s="1555">
        <f t="shared" si="27"/>
        <v>-1320000000</v>
      </c>
      <c r="H121" s="1607">
        <f t="shared" si="24"/>
        <v>-0.31058823529411766</v>
      </c>
      <c r="I121" s="1485"/>
    </row>
    <row r="123" spans="1:9">
      <c r="D123" s="1557">
        <f>D121-D49</f>
        <v>0</v>
      </c>
      <c r="E123" s="1557">
        <f t="shared" ref="E123:G123" si="29">E121-E49</f>
        <v>0</v>
      </c>
      <c r="F123" s="1557">
        <f t="shared" si="29"/>
        <v>0</v>
      </c>
      <c r="G123" s="1557">
        <f t="shared" si="29"/>
        <v>0</v>
      </c>
    </row>
  </sheetData>
  <mergeCells count="71">
    <mergeCell ref="A121:C121"/>
    <mergeCell ref="A114:A116"/>
    <mergeCell ref="B114:B115"/>
    <mergeCell ref="B116:C116"/>
    <mergeCell ref="A117:A119"/>
    <mergeCell ref="B117:B118"/>
    <mergeCell ref="B119:C119"/>
    <mergeCell ref="A107:A108"/>
    <mergeCell ref="B108:C108"/>
    <mergeCell ref="A109:A110"/>
    <mergeCell ref="B110:C110"/>
    <mergeCell ref="A111:A113"/>
    <mergeCell ref="B111:B112"/>
    <mergeCell ref="B113:C113"/>
    <mergeCell ref="A73:A76"/>
    <mergeCell ref="B73:B75"/>
    <mergeCell ref="B76:C76"/>
    <mergeCell ref="A77:A106"/>
    <mergeCell ref="B77:B82"/>
    <mergeCell ref="B83:B105"/>
    <mergeCell ref="B106:C106"/>
    <mergeCell ref="B72:C72"/>
    <mergeCell ref="A46:A48"/>
    <mergeCell ref="B46:B47"/>
    <mergeCell ref="B48:C48"/>
    <mergeCell ref="A49:C49"/>
    <mergeCell ref="A50:I50"/>
    <mergeCell ref="A51:C51"/>
    <mergeCell ref="D51:D52"/>
    <mergeCell ref="E51:E52"/>
    <mergeCell ref="F51:F52"/>
    <mergeCell ref="G51:G52"/>
    <mergeCell ref="H51:H52"/>
    <mergeCell ref="I51:I52"/>
    <mergeCell ref="B53:B59"/>
    <mergeCell ref="B60:B63"/>
    <mergeCell ref="B64:B71"/>
    <mergeCell ref="A38:A40"/>
    <mergeCell ref="B38:B39"/>
    <mergeCell ref="B40:C40"/>
    <mergeCell ref="A41:A45"/>
    <mergeCell ref="B41:B44"/>
    <mergeCell ref="B45:C45"/>
    <mergeCell ref="A31:A33"/>
    <mergeCell ref="B31:B32"/>
    <mergeCell ref="B33:C33"/>
    <mergeCell ref="B34:B36"/>
    <mergeCell ref="A36:A37"/>
    <mergeCell ref="B37:C37"/>
    <mergeCell ref="A23:A27"/>
    <mergeCell ref="B23:B26"/>
    <mergeCell ref="B27:C27"/>
    <mergeCell ref="A28:A30"/>
    <mergeCell ref="B28:B29"/>
    <mergeCell ref="B30:C30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5" type="noConversion"/>
  <pageMargins left="0.25" right="0.25" top="0.75" bottom="0.75" header="0.30000001192092896" footer="0.30000001192092896"/>
  <pageSetup paperSize="9" scale="7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</vt:i4>
      </vt:variant>
    </vt:vector>
  </HeadingPairs>
  <TitlesOfParts>
    <vt:vector size="15" baseType="lpstr">
      <vt:lpstr>2025년 추경예산(안) 지부별총괄표</vt:lpstr>
      <vt:lpstr>총괄표(세입.세출)</vt:lpstr>
      <vt:lpstr>1. 본부사무국</vt:lpstr>
      <vt:lpstr>2.서울지부</vt:lpstr>
      <vt:lpstr>3.부산지부</vt:lpstr>
      <vt:lpstr>4. 서울Y 봉천종합사회복지관</vt:lpstr>
      <vt:lpstr>5.서울Y누리봄</vt:lpstr>
      <vt:lpstr>7. 강서구어린이집</vt:lpstr>
      <vt:lpstr>5.은학의집(총괄)</vt:lpstr>
      <vt:lpstr>5-1.은학의집(재가복지)</vt:lpstr>
      <vt:lpstr>5-2은학의집(요양시설)</vt:lpstr>
      <vt:lpstr>6.울산씨밀레</vt:lpstr>
      <vt:lpstr>7.강서구지역자활센터(장기요양사업)</vt:lpstr>
      <vt:lpstr>Sheet1</vt:lpstr>
      <vt:lpstr>'2.서울지부'!Print_Area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이다예</cp:lastModifiedBy>
  <cp:revision>7</cp:revision>
  <cp:lastPrinted>2025-11-17T02:19:00Z</cp:lastPrinted>
  <dcterms:created xsi:type="dcterms:W3CDTF">2020-12-29T07:45:36Z</dcterms:created>
  <dcterms:modified xsi:type="dcterms:W3CDTF">2025-12-09T02:42:19Z</dcterms:modified>
  <cp:version>1100.0100.01</cp:version>
</cp:coreProperties>
</file>