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★★YWCA_복지사업단(20190301이후)★★\4. 법인행정사무\1. 이사회\★★회의자료★★\2024\임시이사회\제4차 임시이사회(20241217)\"/>
    </mc:Choice>
  </mc:AlternateContent>
  <bookViews>
    <workbookView xWindow="14460" yWindow="90" windowWidth="14250" windowHeight="12810" tabRatio="828" firstSheet="4" activeTab="19"/>
  </bookViews>
  <sheets>
    <sheet name="2024년 추경예산(안) 지부별총괄표" sheetId="35" r:id="rId1"/>
    <sheet name="총괄표(세입.세출)" sheetId="40" r:id="rId2"/>
    <sheet name="1. 본부사무국" sheetId="17" r:id="rId3"/>
    <sheet name="2.서울지부" sheetId="41" r:id="rId4"/>
    <sheet name="3.부산지부" sheetId="42" r:id="rId5"/>
    <sheet name="4. 서울Y 봉천종합사회복지관" sheetId="10" r:id="rId6"/>
    <sheet name="5. 강서종합사회복지관(총괄)" sheetId="44" r:id="rId7"/>
    <sheet name="5-1. 강서종합사회복지관" sheetId="48" state="hidden" r:id="rId8"/>
    <sheet name="5-2.강서종합사회복지관(재가노인지원서비스)" sheetId="49" state="hidden" r:id="rId9"/>
    <sheet name="5-3.강서구종합사회복지관(강서지역아동센터)" sheetId="50" state="hidden" r:id="rId10"/>
    <sheet name="5-4.강서구종합사회복지관(청소년지원센터)" sheetId="51" state="hidden" r:id="rId11"/>
    <sheet name="5-5.강서구종합사회복지관(자원봉사센터)" sheetId="54" state="hidden" r:id="rId12"/>
    <sheet name="5-6.강서구종합사회복지관(발달재활서비스)" sheetId="52" state="hidden" r:id="rId13"/>
    <sheet name="5-7.강서구종합사회복지관(심리치유서비스)" sheetId="53" state="hidden" r:id="rId14"/>
    <sheet name="6.강서구지역자활센터(장기요양사업)" sheetId="47" r:id="rId15"/>
    <sheet name="7. 강서구어린이집" sheetId="37" r:id="rId16"/>
    <sheet name="8.은학의집(총괄)" sheetId="45" r:id="rId17"/>
    <sheet name="8-1.은학의집(재가복지)" sheetId="55" state="hidden" r:id="rId18"/>
    <sheet name="8-2은학의집(요양시설)" sheetId="56" state="hidden" r:id="rId19"/>
    <sheet name="9.울산씨밀레" sheetId="46" r:id="rId20"/>
    <sheet name="Sheet1" sheetId="38" state="hidden" r:id="rId21"/>
  </sheets>
  <externalReferences>
    <externalReference r:id="rId22"/>
    <externalReference r:id="rId23"/>
  </externalReferences>
  <definedNames>
    <definedName name="_xlnm.Print_Area" localSheetId="2">'1. 본부사무국'!$A$1:$I$51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5" l="1"/>
  <c r="E23" i="35"/>
  <c r="E8" i="35"/>
  <c r="F9" i="35" l="1"/>
  <c r="D8" i="35"/>
  <c r="D7" i="35"/>
  <c r="D6" i="35"/>
  <c r="E7" i="35"/>
  <c r="E6" i="35"/>
  <c r="G21" i="40"/>
  <c r="G20" i="40"/>
  <c r="G18" i="40"/>
  <c r="G17" i="40"/>
  <c r="G15" i="40"/>
  <c r="G13" i="40"/>
  <c r="F23" i="40" l="1"/>
  <c r="F14" i="40"/>
  <c r="G14" i="40"/>
  <c r="F19" i="40"/>
  <c r="G19" i="40"/>
  <c r="F22" i="40"/>
  <c r="G22" i="40"/>
  <c r="F23" i="17" l="1"/>
  <c r="F12" i="45" l="1"/>
  <c r="F11" i="45"/>
  <c r="F10" i="45"/>
  <c r="F9" i="45"/>
  <c r="E119" i="46" l="1"/>
  <c r="D119" i="46"/>
  <c r="E49" i="46"/>
  <c r="F49" i="46"/>
  <c r="D49" i="46"/>
  <c r="D17" i="35" l="1"/>
  <c r="D16" i="35"/>
  <c r="D15" i="35"/>
  <c r="D14" i="35"/>
  <c r="D13" i="35"/>
  <c r="D12" i="35"/>
  <c r="D11" i="35"/>
  <c r="D10" i="35"/>
  <c r="G28" i="17" l="1"/>
  <c r="G29" i="17"/>
  <c r="G32" i="17"/>
  <c r="G33" i="17"/>
  <c r="G35" i="17"/>
  <c r="G36" i="17"/>
  <c r="G37" i="17"/>
  <c r="G38" i="17"/>
  <c r="G39" i="17"/>
  <c r="G42" i="17"/>
  <c r="G43" i="17"/>
  <c r="G45" i="17"/>
  <c r="G49" i="17"/>
  <c r="G27" i="17"/>
  <c r="F50" i="17"/>
  <c r="F46" i="17"/>
  <c r="F44" i="17"/>
  <c r="F40" i="17"/>
  <c r="F34" i="17"/>
  <c r="F31" i="17"/>
  <c r="H18" i="17"/>
  <c r="G10" i="17"/>
  <c r="H10" i="17" s="1"/>
  <c r="G13" i="17"/>
  <c r="H13" i="17" s="1"/>
  <c r="G17" i="17"/>
  <c r="H17" i="17" s="1"/>
  <c r="G18" i="17"/>
  <c r="G20" i="17"/>
  <c r="H20" i="17" s="1"/>
  <c r="G21" i="17"/>
  <c r="H21" i="17" s="1"/>
  <c r="G8" i="17"/>
  <c r="F22" i="17"/>
  <c r="F19" i="17"/>
  <c r="F14" i="17"/>
  <c r="F11" i="17"/>
  <c r="F9" i="17"/>
  <c r="G111" i="47"/>
  <c r="G109" i="47"/>
  <c r="F111" i="47"/>
  <c r="G93" i="47"/>
  <c r="G74" i="47"/>
  <c r="G75" i="47"/>
  <c r="G76" i="47"/>
  <c r="G73" i="47"/>
  <c r="F76" i="47"/>
  <c r="F41" i="17" l="1"/>
  <c r="F51" i="17" l="1"/>
  <c r="G65" i="47" l="1"/>
  <c r="G66" i="47"/>
  <c r="G67" i="47"/>
  <c r="G68" i="47"/>
  <c r="G69" i="47"/>
  <c r="G70" i="47"/>
  <c r="G71" i="47"/>
  <c r="G72" i="47"/>
  <c r="G64" i="47"/>
  <c r="F71" i="47"/>
  <c r="F72" i="47" s="1"/>
  <c r="G61" i="47"/>
  <c r="G62" i="47"/>
  <c r="G63" i="47"/>
  <c r="G60" i="47"/>
  <c r="F63" i="47"/>
  <c r="G54" i="47"/>
  <c r="G55" i="47"/>
  <c r="G56" i="47"/>
  <c r="G57" i="47"/>
  <c r="G58" i="47"/>
  <c r="G59" i="47"/>
  <c r="G53" i="47"/>
  <c r="F59" i="47"/>
  <c r="G45" i="47"/>
  <c r="G44" i="47"/>
  <c r="G42" i="47"/>
  <c r="F45" i="47"/>
  <c r="G40" i="47"/>
  <c r="G38" i="47"/>
  <c r="F40" i="47"/>
  <c r="G32" i="47"/>
  <c r="G33" i="47"/>
  <c r="G31" i="47"/>
  <c r="F33" i="47"/>
  <c r="G13" i="47"/>
  <c r="G9" i="47"/>
  <c r="F13" i="47"/>
  <c r="F119" i="45"/>
  <c r="G119" i="45"/>
  <c r="G118" i="45"/>
  <c r="G117" i="45"/>
  <c r="F117" i="45"/>
  <c r="F116" i="45"/>
  <c r="G116" i="45"/>
  <c r="F115" i="45"/>
  <c r="G115" i="45"/>
  <c r="F114" i="45"/>
  <c r="G114" i="45"/>
  <c r="F113" i="45"/>
  <c r="G113" i="45"/>
  <c r="F112" i="45"/>
  <c r="G112" i="45"/>
  <c r="F111" i="45"/>
  <c r="G111" i="45"/>
  <c r="F109" i="45"/>
  <c r="G109" i="45"/>
  <c r="E108" i="45"/>
  <c r="F108" i="45"/>
  <c r="G108" i="45"/>
  <c r="F107" i="45"/>
  <c r="G107" i="45"/>
  <c r="F106" i="45"/>
  <c r="G106" i="45"/>
  <c r="F105" i="45"/>
  <c r="G105" i="45"/>
  <c r="F100" i="45"/>
  <c r="G100" i="45"/>
  <c r="F99" i="45"/>
  <c r="G99" i="45"/>
  <c r="F98" i="45"/>
  <c r="G98" i="45"/>
  <c r="F97" i="45"/>
  <c r="G97" i="45"/>
  <c r="F96" i="45"/>
  <c r="G96" i="45"/>
  <c r="F95" i="45"/>
  <c r="G95" i="45"/>
  <c r="F94" i="45"/>
  <c r="G94" i="45"/>
  <c r="F93" i="45"/>
  <c r="G93" i="45"/>
  <c r="F82" i="45"/>
  <c r="G82" i="45"/>
  <c r="F81" i="45"/>
  <c r="G81" i="45"/>
  <c r="F80" i="45"/>
  <c r="G80" i="45"/>
  <c r="F78" i="45"/>
  <c r="G78" i="45"/>
  <c r="F77" i="45"/>
  <c r="G77" i="45"/>
  <c r="E76" i="45"/>
  <c r="F76" i="45"/>
  <c r="G76" i="45"/>
  <c r="E75" i="45"/>
  <c r="F75" i="45"/>
  <c r="G75" i="45"/>
  <c r="E74" i="45"/>
  <c r="F74" i="45"/>
  <c r="G74" i="45"/>
  <c r="E73" i="45"/>
  <c r="F73" i="45"/>
  <c r="G73" i="45"/>
  <c r="F72" i="45"/>
  <c r="G72" i="45"/>
  <c r="F71" i="45"/>
  <c r="G71" i="45"/>
  <c r="F70" i="45"/>
  <c r="G70" i="45"/>
  <c r="F68" i="45"/>
  <c r="G68" i="45"/>
  <c r="F66" i="45"/>
  <c r="G66" i="45"/>
  <c r="F65" i="45"/>
  <c r="G65" i="45"/>
  <c r="F64" i="45"/>
  <c r="G64" i="45"/>
  <c r="F63" i="45"/>
  <c r="G63" i="45"/>
  <c r="G62" i="45"/>
  <c r="F62" i="45"/>
  <c r="F61" i="45"/>
  <c r="G61" i="45"/>
  <c r="F60" i="45"/>
  <c r="G60" i="45"/>
  <c r="G59" i="45"/>
  <c r="G58" i="45"/>
  <c r="G57" i="45"/>
  <c r="G56" i="45"/>
  <c r="F56" i="45"/>
  <c r="F57" i="45"/>
  <c r="F59" i="45"/>
  <c r="G116" i="56"/>
  <c r="G117" i="56"/>
  <c r="G118" i="56"/>
  <c r="G119" i="56"/>
  <c r="G115" i="56"/>
  <c r="F119" i="56"/>
  <c r="F117" i="56"/>
  <c r="G113" i="56"/>
  <c r="G114" i="56"/>
  <c r="G112" i="56"/>
  <c r="F114" i="56"/>
  <c r="G111" i="56"/>
  <c r="G109" i="56"/>
  <c r="F111" i="56"/>
  <c r="G108" i="56"/>
  <c r="G107" i="56"/>
  <c r="F108" i="56"/>
  <c r="G94" i="56"/>
  <c r="G95" i="56"/>
  <c r="G96" i="56"/>
  <c r="G97" i="56"/>
  <c r="G100" i="56"/>
  <c r="G93" i="56"/>
  <c r="F105" i="56"/>
  <c r="F106" i="56" s="1"/>
  <c r="G78" i="56"/>
  <c r="G79" i="56"/>
  <c r="G80" i="56"/>
  <c r="G81" i="56"/>
  <c r="G82" i="56"/>
  <c r="G77" i="56"/>
  <c r="F77" i="56"/>
  <c r="F82" i="56" s="1"/>
  <c r="G74" i="56"/>
  <c r="G75" i="56"/>
  <c r="G76" i="56"/>
  <c r="G73" i="56"/>
  <c r="F76" i="56"/>
  <c r="G65" i="56"/>
  <c r="G66" i="56"/>
  <c r="G68" i="56"/>
  <c r="G70" i="56"/>
  <c r="G71" i="56"/>
  <c r="G72" i="56"/>
  <c r="G64" i="56"/>
  <c r="F72" i="56"/>
  <c r="F71" i="56"/>
  <c r="G61" i="56"/>
  <c r="G62" i="56"/>
  <c r="G63" i="56"/>
  <c r="G60" i="56"/>
  <c r="F63" i="56"/>
  <c r="G54" i="56"/>
  <c r="G54" i="45" s="1"/>
  <c r="G55" i="56"/>
  <c r="G56" i="56"/>
  <c r="G57" i="56"/>
  <c r="G53" i="56"/>
  <c r="F59" i="56"/>
  <c r="F55" i="45"/>
  <c r="G55" i="45"/>
  <c r="F54" i="45"/>
  <c r="F53" i="45"/>
  <c r="G53" i="45"/>
  <c r="G49" i="45"/>
  <c r="F48" i="45"/>
  <c r="G48" i="45"/>
  <c r="F47" i="45"/>
  <c r="G47" i="45"/>
  <c r="F46" i="45"/>
  <c r="G46" i="45"/>
  <c r="F45" i="45"/>
  <c r="G45" i="45"/>
  <c r="F44" i="45"/>
  <c r="G44" i="45"/>
  <c r="F43" i="45"/>
  <c r="G43" i="45"/>
  <c r="F42" i="45"/>
  <c r="G42" i="45"/>
  <c r="F40" i="45"/>
  <c r="G40" i="45"/>
  <c r="F39" i="45"/>
  <c r="G39" i="45"/>
  <c r="F38" i="45"/>
  <c r="G38" i="45"/>
  <c r="F37" i="45"/>
  <c r="G37" i="45"/>
  <c r="F36" i="45"/>
  <c r="G36" i="45"/>
  <c r="G33" i="45"/>
  <c r="F33" i="45"/>
  <c r="F32" i="45"/>
  <c r="G32" i="45"/>
  <c r="F31" i="45"/>
  <c r="G31" i="45"/>
  <c r="F30" i="45"/>
  <c r="G30" i="45"/>
  <c r="F29" i="45"/>
  <c r="G29" i="45"/>
  <c r="F28" i="45"/>
  <c r="G28" i="45"/>
  <c r="F27" i="45"/>
  <c r="G27" i="45"/>
  <c r="F26" i="45"/>
  <c r="G26" i="45"/>
  <c r="F25" i="45"/>
  <c r="G25" i="45"/>
  <c r="F22" i="45"/>
  <c r="G22" i="45"/>
  <c r="F18" i="45"/>
  <c r="G18" i="45"/>
  <c r="G49" i="56"/>
  <c r="G47" i="56"/>
  <c r="G48" i="56"/>
  <c r="G46" i="56"/>
  <c r="F49" i="56"/>
  <c r="F48" i="56"/>
  <c r="G43" i="56"/>
  <c r="G44" i="56"/>
  <c r="G45" i="56"/>
  <c r="G42" i="56"/>
  <c r="F45" i="56"/>
  <c r="G40" i="56"/>
  <c r="G38" i="56"/>
  <c r="F40" i="56"/>
  <c r="G32" i="56"/>
  <c r="G33" i="56"/>
  <c r="G31" i="56"/>
  <c r="F33" i="56"/>
  <c r="G30" i="56"/>
  <c r="G28" i="56"/>
  <c r="F30" i="56"/>
  <c r="G27" i="56"/>
  <c r="G25" i="56"/>
  <c r="F27" i="56"/>
  <c r="G10" i="56"/>
  <c r="G11" i="56"/>
  <c r="G12" i="56"/>
  <c r="G13" i="56"/>
  <c r="G9" i="56"/>
  <c r="F13" i="56"/>
  <c r="F13" i="45" l="1"/>
  <c r="F49" i="45" s="1"/>
  <c r="F119" i="55"/>
  <c r="G119" i="55" s="1"/>
  <c r="G117" i="55"/>
  <c r="G118" i="55"/>
  <c r="G116" i="55"/>
  <c r="G115" i="55"/>
  <c r="F117" i="55"/>
  <c r="G113" i="55"/>
  <c r="G114" i="55"/>
  <c r="G112" i="55"/>
  <c r="F114" i="55"/>
  <c r="G111" i="55"/>
  <c r="G109" i="55"/>
  <c r="F111" i="55"/>
  <c r="G108" i="55"/>
  <c r="G107" i="55"/>
  <c r="F108" i="55"/>
  <c r="G94" i="55"/>
  <c r="G95" i="55"/>
  <c r="G96" i="55"/>
  <c r="G97" i="55"/>
  <c r="G98" i="55"/>
  <c r="G99" i="55"/>
  <c r="G100" i="55"/>
  <c r="G93" i="55"/>
  <c r="F105" i="55"/>
  <c r="G78" i="55"/>
  <c r="G79" i="55"/>
  <c r="G80" i="55"/>
  <c r="G81" i="55"/>
  <c r="G82" i="55"/>
  <c r="G77" i="55"/>
  <c r="F77" i="55"/>
  <c r="F82" i="55" s="1"/>
  <c r="F72" i="55"/>
  <c r="G72" i="55" s="1"/>
  <c r="G74" i="55"/>
  <c r="G75" i="55"/>
  <c r="G76" i="55"/>
  <c r="G73" i="55"/>
  <c r="F76" i="55"/>
  <c r="G65" i="55"/>
  <c r="G66" i="55"/>
  <c r="G67" i="55"/>
  <c r="G68" i="55"/>
  <c r="G69" i="55"/>
  <c r="G70" i="55"/>
  <c r="G71" i="55"/>
  <c r="G64" i="55"/>
  <c r="F71" i="55"/>
  <c r="G61" i="55"/>
  <c r="G62" i="55"/>
  <c r="G63" i="55"/>
  <c r="G60" i="55"/>
  <c r="F63" i="55"/>
  <c r="G54" i="55"/>
  <c r="G55" i="55"/>
  <c r="G56" i="55"/>
  <c r="G57" i="55"/>
  <c r="G58" i="55"/>
  <c r="G59" i="55"/>
  <c r="G53" i="55"/>
  <c r="F59" i="55"/>
  <c r="F49" i="55"/>
  <c r="G49" i="55" s="1"/>
  <c r="G47" i="55"/>
  <c r="G48" i="55"/>
  <c r="G46" i="55"/>
  <c r="F48" i="55"/>
  <c r="G43" i="55"/>
  <c r="G44" i="55"/>
  <c r="G45" i="55"/>
  <c r="G42" i="55"/>
  <c r="F45" i="55"/>
  <c r="G39" i="55"/>
  <c r="G40" i="55"/>
  <c r="G38" i="55"/>
  <c r="F40" i="55"/>
  <c r="G36" i="55"/>
  <c r="F37" i="55"/>
  <c r="G32" i="55"/>
  <c r="G33" i="55"/>
  <c r="G31" i="55"/>
  <c r="F33" i="55"/>
  <c r="G30" i="55"/>
  <c r="G29" i="55"/>
  <c r="G28" i="55"/>
  <c r="F30" i="55"/>
  <c r="G27" i="55"/>
  <c r="G26" i="55"/>
  <c r="F27" i="55"/>
  <c r="G18" i="55"/>
  <c r="F22" i="55"/>
  <c r="G13" i="55"/>
  <c r="G10" i="55"/>
  <c r="G9" i="55"/>
  <c r="F13" i="55"/>
  <c r="F106" i="55" l="1"/>
  <c r="E19" i="35"/>
  <c r="E17" i="35" l="1"/>
  <c r="C17" i="35"/>
  <c r="E16" i="35"/>
  <c r="C16" i="35"/>
  <c r="E15" i="35"/>
  <c r="C15" i="35"/>
  <c r="E14" i="35"/>
  <c r="F14" i="35" s="1"/>
  <c r="G14" i="35" s="1"/>
  <c r="C14" i="35"/>
  <c r="E13" i="35"/>
  <c r="F13" i="35" s="1"/>
  <c r="G13" i="35" s="1"/>
  <c r="C13" i="35"/>
  <c r="E12" i="35"/>
  <c r="F12" i="35" s="1"/>
  <c r="G12" i="35" s="1"/>
  <c r="C12" i="35"/>
  <c r="E11" i="35"/>
  <c r="C11" i="35"/>
  <c r="C8" i="35"/>
  <c r="C7" i="35"/>
  <c r="E179" i="40"/>
  <c r="G171" i="40"/>
  <c r="G170" i="40"/>
  <c r="F171" i="40"/>
  <c r="E171" i="40"/>
  <c r="G168" i="40"/>
  <c r="G145" i="40"/>
  <c r="G146" i="40"/>
  <c r="G148" i="40"/>
  <c r="G149" i="40"/>
  <c r="G150" i="40"/>
  <c r="G151" i="40"/>
  <c r="G153" i="40"/>
  <c r="G154" i="40"/>
  <c r="G155" i="40"/>
  <c r="G156" i="40"/>
  <c r="G157" i="40"/>
  <c r="G158" i="40"/>
  <c r="G159" i="40"/>
  <c r="G160" i="40"/>
  <c r="G161" i="40"/>
  <c r="G162" i="40"/>
  <c r="G163" i="40"/>
  <c r="G164" i="40"/>
  <c r="G165" i="40"/>
  <c r="G144" i="40"/>
  <c r="F145" i="40"/>
  <c r="F146" i="40"/>
  <c r="F148" i="40"/>
  <c r="F149" i="40"/>
  <c r="F150" i="40"/>
  <c r="F151" i="40"/>
  <c r="F153" i="40"/>
  <c r="F162" i="40"/>
  <c r="F163" i="40"/>
  <c r="F164" i="40"/>
  <c r="F165" i="40"/>
  <c r="F144" i="40"/>
  <c r="E145" i="40"/>
  <c r="E146" i="40"/>
  <c r="E148" i="40"/>
  <c r="E149" i="40"/>
  <c r="E150" i="40"/>
  <c r="E151" i="40"/>
  <c r="E153" i="40"/>
  <c r="E162" i="40"/>
  <c r="E163" i="40"/>
  <c r="E164" i="40"/>
  <c r="E165" i="40"/>
  <c r="E144" i="40"/>
  <c r="G139" i="40"/>
  <c r="G140" i="40"/>
  <c r="G141" i="40"/>
  <c r="G142" i="40"/>
  <c r="G138" i="40"/>
  <c r="E140" i="40"/>
  <c r="F140" i="40"/>
  <c r="G135" i="40"/>
  <c r="G136" i="40"/>
  <c r="G134" i="40"/>
  <c r="G126" i="40"/>
  <c r="G127" i="40"/>
  <c r="G128" i="40"/>
  <c r="G129" i="40"/>
  <c r="G130" i="40"/>
  <c r="G131" i="40"/>
  <c r="G125" i="40"/>
  <c r="F128" i="40"/>
  <c r="F130" i="40"/>
  <c r="E128" i="40"/>
  <c r="E130" i="40"/>
  <c r="G122" i="40"/>
  <c r="G123" i="40"/>
  <c r="G121" i="40"/>
  <c r="G115" i="40"/>
  <c r="G116" i="40"/>
  <c r="G117" i="40"/>
  <c r="G118" i="40"/>
  <c r="G119" i="40"/>
  <c r="F119" i="40"/>
  <c r="E119" i="40"/>
  <c r="G114" i="40"/>
  <c r="G36" i="40"/>
  <c r="G37" i="40"/>
  <c r="G38" i="40" s="1"/>
  <c r="G43" i="40"/>
  <c r="G44" i="40"/>
  <c r="G55" i="40"/>
  <c r="G56" i="40" s="1"/>
  <c r="G54" i="40"/>
  <c r="G50" i="40"/>
  <c r="G51" i="40"/>
  <c r="G52" i="40"/>
  <c r="G49" i="40"/>
  <c r="G47" i="40"/>
  <c r="G46" i="40"/>
  <c r="F49" i="40"/>
  <c r="E49" i="40"/>
  <c r="E43" i="40"/>
  <c r="F42" i="40"/>
  <c r="G42" i="40"/>
  <c r="E42" i="40"/>
  <c r="G40" i="40"/>
  <c r="G39" i="40"/>
  <c r="G32" i="40"/>
  <c r="G33" i="40"/>
  <c r="G34" i="40"/>
  <c r="G31" i="40"/>
  <c r="F43" i="40"/>
  <c r="F32" i="40"/>
  <c r="F31" i="40"/>
  <c r="E32" i="40"/>
  <c r="E31" i="40"/>
  <c r="F15" i="35"/>
  <c r="G15" i="35" s="1"/>
  <c r="F17" i="35"/>
  <c r="G17" i="35" s="1"/>
  <c r="G45" i="40" l="1"/>
  <c r="G53" i="40"/>
  <c r="G35" i="40"/>
  <c r="H140" i="40"/>
  <c r="I140" i="40" s="1"/>
  <c r="F16" i="35"/>
  <c r="G16" i="35" s="1"/>
  <c r="H43" i="40"/>
  <c r="G41" i="40"/>
  <c r="E22" i="35" l="1"/>
  <c r="D22" i="35"/>
  <c r="C22" i="35"/>
  <c r="F22" i="35"/>
  <c r="G22" i="35" s="1"/>
  <c r="G110" i="46" l="1"/>
  <c r="H110" i="46" s="1"/>
  <c r="G104" i="46"/>
  <c r="H104" i="46" s="1"/>
  <c r="G103" i="46"/>
  <c r="H103" i="46" s="1"/>
  <c r="G102" i="46"/>
  <c r="H102" i="46" s="1"/>
  <c r="H101" i="46"/>
  <c r="G101" i="46"/>
  <c r="H92" i="46"/>
  <c r="G92" i="46"/>
  <c r="G81" i="46"/>
  <c r="H81" i="46" s="1"/>
  <c r="H80" i="46"/>
  <c r="G80" i="46"/>
  <c r="G79" i="46"/>
  <c r="H79" i="46" s="1"/>
  <c r="G78" i="46"/>
  <c r="H78" i="46" s="1"/>
  <c r="G77" i="46"/>
  <c r="H77" i="46" s="1"/>
  <c r="G75" i="46"/>
  <c r="H75" i="46" s="1"/>
  <c r="G73" i="46"/>
  <c r="H73" i="46" s="1"/>
  <c r="H45" i="46"/>
  <c r="G42" i="46"/>
  <c r="H42" i="46" s="1"/>
  <c r="H29" i="46"/>
  <c r="H30" i="46"/>
  <c r="H28" i="46"/>
  <c r="H24" i="46"/>
  <c r="G24" i="46"/>
  <c r="H23" i="46"/>
  <c r="G23" i="46"/>
  <c r="H118" i="56"/>
  <c r="E118" i="45"/>
  <c r="F179" i="40" s="1"/>
  <c r="E116" i="45"/>
  <c r="E115" i="45"/>
  <c r="F176" i="40" s="1"/>
  <c r="D116" i="45"/>
  <c r="D115" i="45"/>
  <c r="E113" i="45"/>
  <c r="D113" i="45"/>
  <c r="E112" i="45"/>
  <c r="D112" i="45"/>
  <c r="E109" i="45"/>
  <c r="F170" i="40" s="1"/>
  <c r="D109" i="45"/>
  <c r="E170" i="40" s="1"/>
  <c r="E107" i="45"/>
  <c r="D107" i="45"/>
  <c r="E168" i="40" s="1"/>
  <c r="E94" i="45"/>
  <c r="E95" i="45"/>
  <c r="E96" i="45"/>
  <c r="F157" i="40" s="1"/>
  <c r="E97" i="45"/>
  <c r="F158" i="40" s="1"/>
  <c r="E98" i="45"/>
  <c r="F159" i="40" s="1"/>
  <c r="E99" i="45"/>
  <c r="F160" i="40" s="1"/>
  <c r="E100" i="45"/>
  <c r="F161" i="40" s="1"/>
  <c r="E93" i="45"/>
  <c r="F154" i="40" s="1"/>
  <c r="D94" i="45"/>
  <c r="E155" i="40" s="1"/>
  <c r="D95" i="45"/>
  <c r="E156" i="40" s="1"/>
  <c r="D96" i="45"/>
  <c r="E157" i="40" s="1"/>
  <c r="D97" i="45"/>
  <c r="E158" i="40" s="1"/>
  <c r="D98" i="45"/>
  <c r="E159" i="40" s="1"/>
  <c r="D99" i="45"/>
  <c r="E160" i="40" s="1"/>
  <c r="D100" i="45"/>
  <c r="E161" i="40" s="1"/>
  <c r="D93" i="45"/>
  <c r="E154" i="40" s="1"/>
  <c r="E78" i="45"/>
  <c r="F139" i="40" s="1"/>
  <c r="E80" i="45"/>
  <c r="F141" i="40" s="1"/>
  <c r="E81" i="45"/>
  <c r="F142" i="40" s="1"/>
  <c r="E77" i="45"/>
  <c r="F138" i="40" s="1"/>
  <c r="D78" i="45"/>
  <c r="E139" i="40" s="1"/>
  <c r="D80" i="45"/>
  <c r="E141" i="40" s="1"/>
  <c r="D81" i="45"/>
  <c r="E142" i="40" s="1"/>
  <c r="D77" i="45"/>
  <c r="F135" i="40"/>
  <c r="F136" i="40"/>
  <c r="F134" i="40"/>
  <c r="D74" i="45"/>
  <c r="D75" i="45"/>
  <c r="D73" i="45"/>
  <c r="E134" i="40" s="1"/>
  <c r="E65" i="45"/>
  <c r="F126" i="40" s="1"/>
  <c r="E66" i="45"/>
  <c r="E68" i="45"/>
  <c r="F129" i="40" s="1"/>
  <c r="E70" i="45"/>
  <c r="F131" i="40" s="1"/>
  <c r="E64" i="45"/>
  <c r="D65" i="45"/>
  <c r="E126" i="40" s="1"/>
  <c r="D66" i="45"/>
  <c r="E127" i="40" s="1"/>
  <c r="D68" i="45"/>
  <c r="E129" i="40" s="1"/>
  <c r="D70" i="45"/>
  <c r="E131" i="40" s="1"/>
  <c r="D64" i="45"/>
  <c r="E125" i="40" s="1"/>
  <c r="E61" i="45"/>
  <c r="E62" i="45"/>
  <c r="E60" i="45"/>
  <c r="F121" i="40" s="1"/>
  <c r="D61" i="45"/>
  <c r="E122" i="40" s="1"/>
  <c r="D62" i="45"/>
  <c r="E123" i="40" s="1"/>
  <c r="D60" i="45"/>
  <c r="E121" i="40" s="1"/>
  <c r="E54" i="45"/>
  <c r="E55" i="45"/>
  <c r="F116" i="40" s="1"/>
  <c r="E56" i="45"/>
  <c r="F117" i="40" s="1"/>
  <c r="E57" i="45"/>
  <c r="E53" i="45"/>
  <c r="F114" i="40" s="1"/>
  <c r="D54" i="45"/>
  <c r="E115" i="40" s="1"/>
  <c r="D55" i="45"/>
  <c r="E116" i="40" s="1"/>
  <c r="D56" i="45"/>
  <c r="E117" i="40" s="1"/>
  <c r="D57" i="45"/>
  <c r="E118" i="40" s="1"/>
  <c r="D53" i="45"/>
  <c r="E114" i="40" s="1"/>
  <c r="G83" i="45"/>
  <c r="G84" i="45"/>
  <c r="G85" i="45"/>
  <c r="G86" i="45"/>
  <c r="G87" i="45"/>
  <c r="G88" i="45"/>
  <c r="G89" i="45"/>
  <c r="G90" i="45"/>
  <c r="G91" i="45"/>
  <c r="G92" i="45"/>
  <c r="E47" i="45"/>
  <c r="F55" i="40" s="1"/>
  <c r="E46" i="45"/>
  <c r="F54" i="40" s="1"/>
  <c r="D47" i="45"/>
  <c r="E55" i="40" s="1"/>
  <c r="D46" i="45"/>
  <c r="E54" i="40" s="1"/>
  <c r="E43" i="45"/>
  <c r="E44" i="45"/>
  <c r="D43" i="45"/>
  <c r="E51" i="40" s="1"/>
  <c r="D44" i="45"/>
  <c r="E52" i="40" s="1"/>
  <c r="E42" i="45"/>
  <c r="F50" i="40" s="1"/>
  <c r="D42" i="45"/>
  <c r="E39" i="45"/>
  <c r="F47" i="40" s="1"/>
  <c r="E38" i="45"/>
  <c r="F46" i="40" s="1"/>
  <c r="D39" i="45"/>
  <c r="E47" i="40" s="1"/>
  <c r="D38" i="45"/>
  <c r="E46" i="40" s="1"/>
  <c r="E36" i="45"/>
  <c r="F44" i="40" s="1"/>
  <c r="D36" i="45"/>
  <c r="E44" i="40" s="1"/>
  <c r="H44" i="40" s="1"/>
  <c r="E32" i="45"/>
  <c r="F40" i="40" s="1"/>
  <c r="E31" i="45"/>
  <c r="F39" i="40" s="1"/>
  <c r="D32" i="45"/>
  <c r="D31" i="45"/>
  <c r="E39" i="40" s="1"/>
  <c r="E29" i="45"/>
  <c r="F37" i="40" s="1"/>
  <c r="E28" i="45"/>
  <c r="F36" i="40" s="1"/>
  <c r="D29" i="45"/>
  <c r="E37" i="40" s="1"/>
  <c r="D28" i="45"/>
  <c r="E36" i="40" s="1"/>
  <c r="E25" i="45"/>
  <c r="F33" i="40" s="1"/>
  <c r="E26" i="45"/>
  <c r="F34" i="40" s="1"/>
  <c r="D25" i="45"/>
  <c r="E33" i="40" s="1"/>
  <c r="D26" i="45"/>
  <c r="E34" i="40" s="1"/>
  <c r="E18" i="45"/>
  <c r="D18" i="45"/>
  <c r="E118" i="55"/>
  <c r="E107" i="55"/>
  <c r="H98" i="55"/>
  <c r="H99" i="55"/>
  <c r="E100" i="55"/>
  <c r="E97" i="55"/>
  <c r="E93" i="55"/>
  <c r="E77" i="55"/>
  <c r="D77" i="55"/>
  <c r="E70" i="55"/>
  <c r="E68" i="55"/>
  <c r="E66" i="55"/>
  <c r="E65" i="55"/>
  <c r="E64" i="55"/>
  <c r="E62" i="55"/>
  <c r="E61" i="55"/>
  <c r="E60" i="55"/>
  <c r="E57" i="55"/>
  <c r="E56" i="55"/>
  <c r="E54" i="55"/>
  <c r="E53" i="55"/>
  <c r="E32" i="55"/>
  <c r="E31" i="55"/>
  <c r="H39" i="55"/>
  <c r="E39" i="55"/>
  <c r="E38" i="55"/>
  <c r="E44" i="55"/>
  <c r="E42" i="55"/>
  <c r="E37" i="55"/>
  <c r="E37" i="45" s="1"/>
  <c r="G37" i="55"/>
  <c r="H37" i="55" s="1"/>
  <c r="D37" i="55"/>
  <c r="H36" i="55"/>
  <c r="H29" i="55"/>
  <c r="H26" i="55"/>
  <c r="H22" i="55"/>
  <c r="E22" i="55"/>
  <c r="G22" i="55"/>
  <c r="D22" i="55"/>
  <c r="H18" i="55"/>
  <c r="E10" i="55"/>
  <c r="E9" i="55"/>
  <c r="G11" i="45"/>
  <c r="G12" i="45"/>
  <c r="G9" i="45"/>
  <c r="G10" i="45"/>
  <c r="E9" i="45"/>
  <c r="E10" i="45"/>
  <c r="E11" i="45"/>
  <c r="E12" i="45"/>
  <c r="D9" i="45"/>
  <c r="D10" i="45"/>
  <c r="D11" i="45"/>
  <c r="D12" i="45"/>
  <c r="E77" i="56"/>
  <c r="D77" i="56"/>
  <c r="H9" i="55"/>
  <c r="H26" i="45" l="1"/>
  <c r="G179" i="40"/>
  <c r="H42" i="45"/>
  <c r="E50" i="40"/>
  <c r="E53" i="40" s="1"/>
  <c r="F127" i="40"/>
  <c r="E138" i="40"/>
  <c r="H43" i="45"/>
  <c r="F51" i="40"/>
  <c r="H25" i="45"/>
  <c r="E38" i="40"/>
  <c r="H38" i="40" s="1"/>
  <c r="F115" i="40"/>
  <c r="F168" i="40"/>
  <c r="H44" i="45"/>
  <c r="F52" i="40"/>
  <c r="E135" i="40"/>
  <c r="F125" i="40"/>
  <c r="E35" i="40"/>
  <c r="H46" i="45"/>
  <c r="H32" i="45"/>
  <c r="E40" i="40"/>
  <c r="E41" i="40" s="1"/>
  <c r="H41" i="40" s="1"/>
  <c r="F118" i="40"/>
  <c r="F123" i="40"/>
  <c r="F156" i="40"/>
  <c r="E136" i="40"/>
  <c r="H31" i="45"/>
  <c r="F122" i="40"/>
  <c r="F155" i="40"/>
  <c r="H47" i="45"/>
  <c r="H39" i="45"/>
  <c r="H38" i="45"/>
  <c r="H36" i="45"/>
  <c r="H29" i="45"/>
  <c r="H28" i="45"/>
  <c r="E76" i="37" l="1"/>
  <c r="F76" i="37"/>
  <c r="D76" i="37"/>
  <c r="G74" i="37"/>
  <c r="H74" i="37" s="1"/>
  <c r="G68" i="37"/>
  <c r="H68" i="37" s="1"/>
  <c r="G67" i="37"/>
  <c r="H67" i="37" s="1"/>
  <c r="E66" i="37"/>
  <c r="E69" i="37" s="1"/>
  <c r="F66" i="37"/>
  <c r="F69" i="37" s="1"/>
  <c r="D66" i="37"/>
  <c r="D69" i="37" s="1"/>
  <c r="G65" i="37"/>
  <c r="H65" i="37" s="1"/>
  <c r="G64" i="37"/>
  <c r="H64" i="37" s="1"/>
  <c r="E63" i="37" l="1"/>
  <c r="F63" i="37"/>
  <c r="D63" i="37"/>
  <c r="G62" i="37"/>
  <c r="H62" i="37" s="1"/>
  <c r="G61" i="37"/>
  <c r="H61" i="37" s="1"/>
  <c r="E60" i="37"/>
  <c r="F60" i="37"/>
  <c r="D60" i="37"/>
  <c r="G59" i="37"/>
  <c r="H59" i="37" s="1"/>
  <c r="G58" i="37"/>
  <c r="H58" i="37" s="1"/>
  <c r="G57" i="37"/>
  <c r="H57" i="37" s="1"/>
  <c r="G56" i="37"/>
  <c r="H56" i="37" s="1"/>
  <c r="G55" i="37"/>
  <c r="H55" i="37" s="1"/>
  <c r="E53" i="37"/>
  <c r="E54" i="37" s="1"/>
  <c r="F53" i="37"/>
  <c r="D53" i="37"/>
  <c r="G52" i="37"/>
  <c r="H52" i="37" s="1"/>
  <c r="G51" i="37"/>
  <c r="H51" i="37" s="1"/>
  <c r="G50" i="37"/>
  <c r="H50" i="37" s="1"/>
  <c r="E49" i="37"/>
  <c r="F49" i="37"/>
  <c r="D49" i="37"/>
  <c r="D54" i="37" s="1"/>
  <c r="G47" i="37"/>
  <c r="H47" i="37" s="1"/>
  <c r="G46" i="37"/>
  <c r="H46" i="37" s="1"/>
  <c r="G45" i="37"/>
  <c r="H45" i="37" s="1"/>
  <c r="G44" i="37"/>
  <c r="H44" i="37" s="1"/>
  <c r="G43" i="37"/>
  <c r="H43" i="37" s="1"/>
  <c r="G42" i="37"/>
  <c r="H42" i="37" s="1"/>
  <c r="E41" i="37"/>
  <c r="F41" i="37"/>
  <c r="D41" i="37"/>
  <c r="D79" i="37" s="1"/>
  <c r="G40" i="37"/>
  <c r="H40" i="37" s="1"/>
  <c r="G39" i="37"/>
  <c r="H39" i="37" s="1"/>
  <c r="G38" i="37"/>
  <c r="H38" i="37" s="1"/>
  <c r="G37" i="37"/>
  <c r="H37" i="37" s="1"/>
  <c r="G36" i="37"/>
  <c r="H36" i="37" s="1"/>
  <c r="G35" i="37"/>
  <c r="H35" i="37" s="1"/>
  <c r="F54" i="37" l="1"/>
  <c r="E79" i="37"/>
  <c r="F79" i="37"/>
  <c r="J70" i="40"/>
  <c r="J64" i="40"/>
  <c r="J65" i="40"/>
  <c r="J76" i="40"/>
  <c r="J61" i="40"/>
  <c r="E30" i="37"/>
  <c r="F30" i="37"/>
  <c r="D30" i="37"/>
  <c r="E27" i="37"/>
  <c r="F27" i="37"/>
  <c r="D27" i="37"/>
  <c r="E24" i="37"/>
  <c r="F24" i="37"/>
  <c r="D24" i="37"/>
  <c r="E22" i="37"/>
  <c r="F22" i="37"/>
  <c r="D22" i="37"/>
  <c r="E19" i="37"/>
  <c r="E20" i="37" s="1"/>
  <c r="F19" i="37"/>
  <c r="F20" i="37" s="1"/>
  <c r="D19" i="37"/>
  <c r="E15" i="37"/>
  <c r="F15" i="37"/>
  <c r="D15" i="37"/>
  <c r="E13" i="37"/>
  <c r="F13" i="37"/>
  <c r="D13" i="37"/>
  <c r="E10" i="37"/>
  <c r="E31" i="37" s="1"/>
  <c r="F10" i="37"/>
  <c r="F31" i="37" s="1"/>
  <c r="D10" i="37"/>
  <c r="D20" i="37" l="1"/>
  <c r="D31" i="37" s="1"/>
  <c r="H8" i="17" l="1"/>
  <c r="G13" i="41" l="1"/>
  <c r="E31" i="17" l="1"/>
  <c r="F35" i="44" l="1"/>
  <c r="E35" i="44"/>
  <c r="E34" i="44"/>
  <c r="F34" i="44"/>
  <c r="D35" i="44"/>
  <c r="D34" i="44"/>
  <c r="F29" i="44"/>
  <c r="E29" i="44"/>
  <c r="D29" i="44"/>
  <c r="E28" i="44"/>
  <c r="F28" i="44"/>
  <c r="D28" i="44"/>
  <c r="F25" i="44"/>
  <c r="F26" i="44"/>
  <c r="E25" i="44"/>
  <c r="E26" i="44"/>
  <c r="D25" i="44"/>
  <c r="D26" i="44"/>
  <c r="E24" i="44"/>
  <c r="F24" i="44"/>
  <c r="D24" i="44"/>
  <c r="F20" i="44"/>
  <c r="G20" i="44"/>
  <c r="F21" i="44"/>
  <c r="G21" i="44"/>
  <c r="G19" i="44"/>
  <c r="E20" i="44"/>
  <c r="E21" i="44"/>
  <c r="D20" i="44"/>
  <c r="D21" i="44"/>
  <c r="E19" i="44"/>
  <c r="F19" i="44"/>
  <c r="D19" i="44"/>
  <c r="G109" i="53" l="1"/>
  <c r="H89" i="52"/>
  <c r="H75" i="52"/>
  <c r="H74" i="52"/>
  <c r="H72" i="52"/>
  <c r="G75" i="52"/>
  <c r="G74" i="52"/>
  <c r="G72" i="52"/>
  <c r="H70" i="52"/>
  <c r="G66" i="52"/>
  <c r="H66" i="52" s="1"/>
  <c r="G65" i="52"/>
  <c r="H65" i="52" s="1"/>
  <c r="G64" i="52"/>
  <c r="H64" i="52" s="1"/>
  <c r="H110" i="54"/>
  <c r="H62" i="54"/>
  <c r="H58" i="54"/>
  <c r="H44" i="54"/>
  <c r="H27" i="54"/>
  <c r="H105" i="51"/>
  <c r="H104" i="51"/>
  <c r="H70" i="51"/>
  <c r="H71" i="51"/>
  <c r="H58" i="51"/>
  <c r="H75" i="50"/>
  <c r="H70" i="49"/>
  <c r="F70" i="49"/>
  <c r="G70" i="49" s="1"/>
  <c r="E70" i="49"/>
  <c r="D70" i="49"/>
  <c r="H110" i="49"/>
  <c r="H109" i="49"/>
  <c r="H105" i="49"/>
  <c r="H30" i="49"/>
  <c r="H28" i="49"/>
  <c r="H27" i="49"/>
  <c r="H24" i="49"/>
  <c r="H58" i="49"/>
  <c r="H56" i="49"/>
  <c r="H48" i="49"/>
  <c r="H69" i="49"/>
  <c r="H64" i="49"/>
  <c r="H65" i="49"/>
  <c r="H66" i="49"/>
  <c r="H67" i="49"/>
  <c r="H63" i="49"/>
  <c r="H86" i="49"/>
  <c r="H104" i="49"/>
  <c r="G20" i="48" l="1"/>
  <c r="G19" i="48"/>
  <c r="H21" i="44"/>
  <c r="H20" i="44"/>
  <c r="H19" i="44"/>
  <c r="G15" i="42" l="1"/>
  <c r="G13" i="42"/>
  <c r="H13" i="42" s="1"/>
  <c r="F111" i="10" l="1"/>
  <c r="G111" i="10" s="1"/>
  <c r="H111" i="10" s="1"/>
  <c r="D111" i="10"/>
  <c r="G110" i="10"/>
  <c r="H110" i="10" s="1"/>
  <c r="G109" i="10"/>
  <c r="H109" i="10" s="1"/>
  <c r="F108" i="10"/>
  <c r="G108" i="10" s="1"/>
  <c r="H108" i="10" s="1"/>
  <c r="D108" i="10"/>
  <c r="G107" i="10"/>
  <c r="H107" i="10" s="1"/>
  <c r="G85" i="10"/>
  <c r="H85" i="10" s="1"/>
  <c r="G84" i="10"/>
  <c r="H84" i="10" s="1"/>
  <c r="G83" i="10"/>
  <c r="H83" i="10" s="1"/>
  <c r="F76" i="10"/>
  <c r="G76" i="10" s="1"/>
  <c r="H76" i="10" s="1"/>
  <c r="D76" i="10"/>
  <c r="G75" i="10"/>
  <c r="H75" i="10" s="1"/>
  <c r="G74" i="10"/>
  <c r="G73" i="10"/>
  <c r="H73" i="10" s="1"/>
  <c r="F71" i="10"/>
  <c r="D71" i="10"/>
  <c r="G70" i="10"/>
  <c r="H70" i="10" s="1"/>
  <c r="G69" i="10"/>
  <c r="G68" i="10"/>
  <c r="H68" i="10" s="1"/>
  <c r="G67" i="10"/>
  <c r="H67" i="10" s="1"/>
  <c r="H66" i="10"/>
  <c r="G66" i="10"/>
  <c r="G65" i="10"/>
  <c r="H65" i="10" s="1"/>
  <c r="H64" i="10"/>
  <c r="G64" i="10"/>
  <c r="F63" i="10"/>
  <c r="G63" i="10" s="1"/>
  <c r="H63" i="10" s="1"/>
  <c r="D63" i="10"/>
  <c r="G62" i="10"/>
  <c r="H62" i="10" s="1"/>
  <c r="G61" i="10"/>
  <c r="G60" i="10"/>
  <c r="H60" i="10" s="1"/>
  <c r="F59" i="10"/>
  <c r="D59" i="10"/>
  <c r="D72" i="10" s="1"/>
  <c r="G58" i="10"/>
  <c r="H58" i="10" s="1"/>
  <c r="G57" i="10"/>
  <c r="H57" i="10" s="1"/>
  <c r="G56" i="10"/>
  <c r="H56" i="10" s="1"/>
  <c r="G55" i="10"/>
  <c r="H55" i="10" s="1"/>
  <c r="G54" i="10"/>
  <c r="H54" i="10" s="1"/>
  <c r="G53" i="10"/>
  <c r="H53" i="10" s="1"/>
  <c r="F48" i="10"/>
  <c r="D48" i="10"/>
  <c r="G47" i="10"/>
  <c r="G46" i="10"/>
  <c r="F45" i="10"/>
  <c r="D45" i="10"/>
  <c r="G44" i="10"/>
  <c r="H44" i="10" s="1"/>
  <c r="G43" i="10"/>
  <c r="G42" i="10"/>
  <c r="H42" i="10" s="1"/>
  <c r="G41" i="10"/>
  <c r="F40" i="10"/>
  <c r="D40" i="10"/>
  <c r="G39" i="10"/>
  <c r="H39" i="10" s="1"/>
  <c r="G38" i="10"/>
  <c r="H38" i="10" s="1"/>
  <c r="F37" i="10"/>
  <c r="D37" i="10"/>
  <c r="G36" i="10"/>
  <c r="G35" i="10"/>
  <c r="G34" i="10"/>
  <c r="H34" i="10" s="1"/>
  <c r="F30" i="10"/>
  <c r="G30" i="10" s="1"/>
  <c r="H30" i="10" s="1"/>
  <c r="D30" i="10"/>
  <c r="G29" i="10"/>
  <c r="H29" i="10" s="1"/>
  <c r="G28" i="10"/>
  <c r="H28" i="10" s="1"/>
  <c r="F27" i="10"/>
  <c r="D27" i="10"/>
  <c r="G26" i="10"/>
  <c r="H26" i="10" s="1"/>
  <c r="G25" i="10"/>
  <c r="H25" i="10" s="1"/>
  <c r="G24" i="10"/>
  <c r="H24" i="10" s="1"/>
  <c r="G23" i="10"/>
  <c r="H23" i="10" s="1"/>
  <c r="F22" i="10"/>
  <c r="D22" i="10"/>
  <c r="G21" i="10"/>
  <c r="G20" i="10"/>
  <c r="G19" i="10"/>
  <c r="G18" i="10"/>
  <c r="H18" i="10" s="1"/>
  <c r="G17" i="10"/>
  <c r="H17" i="10" s="1"/>
  <c r="G16" i="10"/>
  <c r="H16" i="10" s="1"/>
  <c r="G15" i="10"/>
  <c r="H15" i="10" s="1"/>
  <c r="G14" i="10"/>
  <c r="H14" i="10" s="1"/>
  <c r="G40" i="10" l="1"/>
  <c r="H40" i="10" s="1"/>
  <c r="G48" i="40"/>
  <c r="G27" i="10"/>
  <c r="H27" i="10" s="1"/>
  <c r="D49" i="10"/>
  <c r="G48" i="10"/>
  <c r="G59" i="10"/>
  <c r="H59" i="10" s="1"/>
  <c r="F49" i="10"/>
  <c r="G49" i="10" s="1"/>
  <c r="G71" i="10"/>
  <c r="H71" i="10" s="1"/>
  <c r="F72" i="10"/>
  <c r="G72" i="10" s="1"/>
  <c r="H72" i="10" s="1"/>
  <c r="G22" i="10"/>
  <c r="H22" i="10" s="1"/>
  <c r="G45" i="10"/>
  <c r="H45" i="10" s="1"/>
  <c r="G37" i="10"/>
  <c r="H37" i="10" s="1"/>
  <c r="H49" i="10" l="1"/>
  <c r="F10" i="35"/>
  <c r="E50" i="41"/>
  <c r="E48" i="41"/>
  <c r="F48" i="41"/>
  <c r="E46" i="41"/>
  <c r="F46" i="41"/>
  <c r="E44" i="41"/>
  <c r="F44" i="41"/>
  <c r="D44" i="41"/>
  <c r="E40" i="41"/>
  <c r="F40" i="41"/>
  <c r="D40" i="41"/>
  <c r="E34" i="41"/>
  <c r="F34" i="41"/>
  <c r="F41" i="41" s="1"/>
  <c r="D34" i="41"/>
  <c r="D41" i="41" s="1"/>
  <c r="E22" i="41"/>
  <c r="F22" i="41"/>
  <c r="E19" i="41"/>
  <c r="F19" i="41"/>
  <c r="E16" i="41"/>
  <c r="F16" i="41"/>
  <c r="E14" i="41"/>
  <c r="F14" i="41"/>
  <c r="D22" i="41"/>
  <c r="D19" i="41"/>
  <c r="D16" i="41"/>
  <c r="D14" i="41"/>
  <c r="D9" i="41"/>
  <c r="D11" i="41" s="1"/>
  <c r="F23" i="41" l="1"/>
  <c r="E41" i="41"/>
  <c r="D23" i="41"/>
  <c r="F111" i="46" l="1"/>
  <c r="E111" i="46"/>
  <c r="D111" i="46"/>
  <c r="F105" i="46"/>
  <c r="E105" i="46"/>
  <c r="D105" i="46"/>
  <c r="F71" i="46"/>
  <c r="E71" i="46"/>
  <c r="D71" i="46"/>
  <c r="F63" i="46"/>
  <c r="F72" i="46" s="1"/>
  <c r="F119" i="46" s="1"/>
  <c r="E63" i="46"/>
  <c r="D63" i="46"/>
  <c r="F59" i="46"/>
  <c r="E59" i="46"/>
  <c r="D59" i="46"/>
  <c r="F45" i="46"/>
  <c r="E45" i="46"/>
  <c r="D45" i="46"/>
  <c r="F40" i="46"/>
  <c r="E40" i="46"/>
  <c r="D40" i="46"/>
  <c r="F27" i="46"/>
  <c r="D27" i="46"/>
  <c r="E27" i="46"/>
  <c r="F30" i="46"/>
  <c r="E30" i="46"/>
  <c r="D30" i="46"/>
  <c r="E72" i="46" l="1"/>
  <c r="D72" i="46"/>
  <c r="G8" i="40"/>
  <c r="F50" i="42"/>
  <c r="D50" i="42"/>
  <c r="F46" i="42"/>
  <c r="E46" i="42"/>
  <c r="D46" i="42"/>
  <c r="F44" i="42"/>
  <c r="E44" i="42"/>
  <c r="D44" i="42"/>
  <c r="F40" i="42"/>
  <c r="D40" i="42"/>
  <c r="F34" i="42"/>
  <c r="D34" i="42"/>
  <c r="F31" i="42"/>
  <c r="E31" i="42"/>
  <c r="E41" i="42" s="1"/>
  <c r="D31" i="42"/>
  <c r="F22" i="42"/>
  <c r="E22" i="42"/>
  <c r="D22" i="42"/>
  <c r="D19" i="42"/>
  <c r="E19" i="42"/>
  <c r="F19" i="42"/>
  <c r="F16" i="42"/>
  <c r="D16" i="42"/>
  <c r="F14" i="42"/>
  <c r="E14" i="42"/>
  <c r="D14" i="42"/>
  <c r="D41" i="42" l="1"/>
  <c r="F41" i="42"/>
  <c r="D46" i="41"/>
  <c r="E173" i="40" l="1"/>
  <c r="F177" i="40"/>
  <c r="E177" i="40" l="1"/>
  <c r="E176" i="40"/>
  <c r="F174" i="40"/>
  <c r="F173" i="40"/>
  <c r="E174" i="40"/>
  <c r="F118" i="44" l="1"/>
  <c r="D118" i="44"/>
  <c r="F110" i="44"/>
  <c r="E110" i="44"/>
  <c r="E109" i="44"/>
  <c r="F109" i="44"/>
  <c r="D110" i="44"/>
  <c r="D109" i="44"/>
  <c r="E107" i="44"/>
  <c r="F107" i="44"/>
  <c r="D107" i="44"/>
  <c r="F84" i="44"/>
  <c r="F85" i="44"/>
  <c r="F87" i="44"/>
  <c r="F88" i="44"/>
  <c r="F89" i="44"/>
  <c r="F90" i="44"/>
  <c r="F96" i="44"/>
  <c r="E84" i="44"/>
  <c r="E85" i="44"/>
  <c r="E87" i="44"/>
  <c r="E88" i="44"/>
  <c r="E89" i="44"/>
  <c r="E90" i="44"/>
  <c r="E96" i="44"/>
  <c r="E83" i="44"/>
  <c r="F83" i="44"/>
  <c r="D84" i="44"/>
  <c r="D85" i="44"/>
  <c r="D87" i="44"/>
  <c r="D88" i="44"/>
  <c r="D89" i="44"/>
  <c r="D90" i="44"/>
  <c r="D96" i="44"/>
  <c r="D83" i="44"/>
  <c r="E73" i="44"/>
  <c r="F73" i="44"/>
  <c r="D73" i="44"/>
  <c r="F65" i="44"/>
  <c r="F66" i="44"/>
  <c r="F67" i="44"/>
  <c r="F68" i="44"/>
  <c r="F69" i="44"/>
  <c r="F70" i="44"/>
  <c r="E65" i="44"/>
  <c r="E66" i="44"/>
  <c r="E67" i="44"/>
  <c r="E68" i="44"/>
  <c r="E69" i="44"/>
  <c r="E70" i="44"/>
  <c r="E64" i="44"/>
  <c r="F64" i="44"/>
  <c r="D65" i="44"/>
  <c r="D66" i="44"/>
  <c r="D67" i="44"/>
  <c r="D68" i="44"/>
  <c r="D69" i="44"/>
  <c r="D70" i="44"/>
  <c r="D64" i="44"/>
  <c r="F61" i="44"/>
  <c r="F62" i="44"/>
  <c r="E61" i="44"/>
  <c r="E62" i="44"/>
  <c r="E60" i="44"/>
  <c r="F60" i="44"/>
  <c r="D61" i="44"/>
  <c r="D62" i="44"/>
  <c r="D60" i="44"/>
  <c r="F54" i="44"/>
  <c r="F56" i="44"/>
  <c r="F57" i="44"/>
  <c r="F58" i="44"/>
  <c r="E54" i="44"/>
  <c r="E56" i="44"/>
  <c r="E57" i="44"/>
  <c r="E58" i="44"/>
  <c r="E53" i="44"/>
  <c r="F53" i="44"/>
  <c r="D54" i="44"/>
  <c r="D56" i="44"/>
  <c r="D57" i="44"/>
  <c r="D58" i="44"/>
  <c r="D53" i="44"/>
  <c r="D44" i="44"/>
  <c r="F42" i="44"/>
  <c r="F43" i="44"/>
  <c r="F44" i="44"/>
  <c r="E42" i="44"/>
  <c r="E43" i="44"/>
  <c r="E44" i="44"/>
  <c r="D42" i="44"/>
  <c r="D43" i="44"/>
  <c r="F39" i="44"/>
  <c r="E39" i="44"/>
  <c r="E38" i="44"/>
  <c r="F38" i="44"/>
  <c r="D39" i="44"/>
  <c r="D38" i="44"/>
  <c r="G166" i="40" l="1"/>
  <c r="G120" i="40"/>
  <c r="F120" i="40"/>
  <c r="E166" i="40"/>
  <c r="F166" i="40"/>
  <c r="E132" i="40"/>
  <c r="E124" i="40"/>
  <c r="G124" i="40"/>
  <c r="F124" i="40"/>
  <c r="G24" i="44"/>
  <c r="H24" i="44" s="1"/>
  <c r="G29" i="44"/>
  <c r="H29" i="44" s="1"/>
  <c r="G26" i="44"/>
  <c r="H26" i="44" s="1"/>
  <c r="G25" i="44"/>
  <c r="H25" i="44" s="1"/>
  <c r="G28" i="44"/>
  <c r="H28" i="44" s="1"/>
  <c r="E120" i="40"/>
  <c r="E133" i="40" l="1"/>
  <c r="H118" i="46"/>
  <c r="G118" i="46"/>
  <c r="H116" i="56"/>
  <c r="E117" i="56"/>
  <c r="D117" i="56"/>
  <c r="H113" i="56"/>
  <c r="H112" i="56"/>
  <c r="H118" i="55"/>
  <c r="H116" i="55"/>
  <c r="H115" i="55"/>
  <c r="E117" i="55"/>
  <c r="D117" i="55"/>
  <c r="D114" i="55"/>
  <c r="E114" i="55"/>
  <c r="H118" i="45"/>
  <c r="E117" i="45"/>
  <c r="H116" i="45"/>
  <c r="D117" i="45"/>
  <c r="E114" i="45"/>
  <c r="H113" i="45"/>
  <c r="D114" i="45"/>
  <c r="H174" i="40"/>
  <c r="I174" i="40" s="1"/>
  <c r="H176" i="40"/>
  <c r="I176" i="40" s="1"/>
  <c r="H177" i="40"/>
  <c r="I177" i="40" s="1"/>
  <c r="G178" i="40"/>
  <c r="E178" i="40"/>
  <c r="G175" i="40"/>
  <c r="F175" i="40"/>
  <c r="E175" i="40"/>
  <c r="H173" i="40"/>
  <c r="I173" i="40" s="1"/>
  <c r="H118" i="10"/>
  <c r="G118" i="10"/>
  <c r="F117" i="10"/>
  <c r="D117" i="10"/>
  <c r="G116" i="10"/>
  <c r="H116" i="10" s="1"/>
  <c r="G115" i="10"/>
  <c r="H115" i="10" s="1"/>
  <c r="F114" i="10"/>
  <c r="D114" i="10"/>
  <c r="H113" i="10"/>
  <c r="G113" i="10"/>
  <c r="G112" i="10"/>
  <c r="H112" i="10" s="1"/>
  <c r="G113" i="44"/>
  <c r="G115" i="44"/>
  <c r="H115" i="44" s="1"/>
  <c r="G116" i="44"/>
  <c r="H116" i="44" s="1"/>
  <c r="G118" i="44"/>
  <c r="H118" i="44" s="1"/>
  <c r="H112" i="44"/>
  <c r="H113" i="44"/>
  <c r="D117" i="44"/>
  <c r="E116" i="44"/>
  <c r="E115" i="44"/>
  <c r="D114" i="44"/>
  <c r="G114" i="44" s="1"/>
  <c r="H114" i="44" s="1"/>
  <c r="F114" i="44"/>
  <c r="E114" i="44"/>
  <c r="H42" i="55"/>
  <c r="G35" i="44"/>
  <c r="H35" i="44" s="1"/>
  <c r="H10" i="55"/>
  <c r="H42" i="56"/>
  <c r="G114" i="10" l="1"/>
  <c r="H114" i="10" s="1"/>
  <c r="H114" i="45"/>
  <c r="E117" i="44"/>
  <c r="H117" i="45"/>
  <c r="H115" i="56"/>
  <c r="H115" i="45"/>
  <c r="H113" i="55"/>
  <c r="D114" i="56"/>
  <c r="E114" i="56"/>
  <c r="H117" i="56"/>
  <c r="H114" i="55"/>
  <c r="H112" i="55"/>
  <c r="H112" i="45"/>
  <c r="H178" i="40"/>
  <c r="I178" i="40" s="1"/>
  <c r="H175" i="40"/>
  <c r="I175" i="40" s="1"/>
  <c r="F178" i="40"/>
  <c r="G117" i="10"/>
  <c r="H117" i="10" s="1"/>
  <c r="G112" i="44"/>
  <c r="F117" i="44"/>
  <c r="G117" i="44" s="1"/>
  <c r="H117" i="44" s="1"/>
  <c r="I43" i="40"/>
  <c r="H114" i="56" l="1"/>
  <c r="H117" i="55"/>
  <c r="G56" i="52" l="1"/>
  <c r="H56" i="52" s="1"/>
  <c r="G55" i="52"/>
  <c r="H55" i="52" s="1"/>
  <c r="G53" i="52"/>
  <c r="H53" i="52" s="1"/>
  <c r="G52" i="52"/>
  <c r="H52" i="52" s="1"/>
  <c r="G41" i="52"/>
  <c r="H41" i="52" s="1"/>
  <c r="G37" i="52"/>
  <c r="H37" i="52" s="1"/>
  <c r="G21" i="52"/>
  <c r="H21" i="52" s="1"/>
  <c r="G109" i="54"/>
  <c r="H109" i="54" s="1"/>
  <c r="G108" i="54"/>
  <c r="H108" i="54" s="1"/>
  <c r="G95" i="54"/>
  <c r="H95" i="54" s="1"/>
  <c r="G67" i="54"/>
  <c r="H67" i="54" s="1"/>
  <c r="G66" i="54"/>
  <c r="H66" i="54" s="1"/>
  <c r="G65" i="54"/>
  <c r="H65" i="54" s="1"/>
  <c r="G64" i="54"/>
  <c r="H64" i="54" s="1"/>
  <c r="G63" i="54"/>
  <c r="H63" i="54" s="1"/>
  <c r="G61" i="54"/>
  <c r="H61" i="54" s="1"/>
  <c r="G60" i="54"/>
  <c r="H60" i="54" s="1"/>
  <c r="G59" i="54"/>
  <c r="H59" i="54" s="1"/>
  <c r="G57" i="54"/>
  <c r="H57" i="54" s="1"/>
  <c r="G56" i="54"/>
  <c r="H56" i="54" s="1"/>
  <c r="G55" i="54"/>
  <c r="H55" i="54" s="1"/>
  <c r="G53" i="54"/>
  <c r="H53" i="54" s="1"/>
  <c r="G52" i="54"/>
  <c r="H52" i="54" s="1"/>
  <c r="G41" i="54"/>
  <c r="H41" i="54" s="1"/>
  <c r="G38" i="54"/>
  <c r="H38" i="54" s="1"/>
  <c r="G37" i="54"/>
  <c r="H37" i="54" s="1"/>
  <c r="G28" i="54"/>
  <c r="H28" i="54" s="1"/>
  <c r="G26" i="54"/>
  <c r="H26" i="54" s="1"/>
  <c r="G25" i="54"/>
  <c r="H25" i="54" s="1"/>
  <c r="G24" i="54"/>
  <c r="H24" i="54" s="1"/>
  <c r="G109" i="51"/>
  <c r="H109" i="51" s="1"/>
  <c r="G88" i="51"/>
  <c r="H88" i="51" s="1"/>
  <c r="G69" i="51"/>
  <c r="G68" i="51"/>
  <c r="G67" i="51"/>
  <c r="G66" i="51"/>
  <c r="H66" i="51" s="1"/>
  <c r="G65" i="51"/>
  <c r="H65" i="51" s="1"/>
  <c r="G64" i="51"/>
  <c r="H64" i="51" s="1"/>
  <c r="G63" i="51"/>
  <c r="G57" i="51"/>
  <c r="G56" i="51"/>
  <c r="G55" i="51"/>
  <c r="H55" i="51" s="1"/>
  <c r="G54" i="51"/>
  <c r="G53" i="51"/>
  <c r="H53" i="51" s="1"/>
  <c r="G52" i="51"/>
  <c r="H52" i="51" s="1"/>
  <c r="G41" i="51"/>
  <c r="H41" i="51" s="1"/>
  <c r="G37" i="51"/>
  <c r="H37" i="51" s="1"/>
  <c r="G109" i="50"/>
  <c r="H109" i="50" s="1"/>
  <c r="G108" i="50"/>
  <c r="H108" i="50" s="1"/>
  <c r="G87" i="50"/>
  <c r="H87" i="50" s="1"/>
  <c r="G72" i="50"/>
  <c r="H72" i="50" s="1"/>
  <c r="G69" i="50"/>
  <c r="G68" i="50"/>
  <c r="H68" i="50" s="1"/>
  <c r="G67" i="50"/>
  <c r="H67" i="50" s="1"/>
  <c r="G66" i="50"/>
  <c r="H66" i="50" s="1"/>
  <c r="G65" i="50"/>
  <c r="H65" i="50" s="1"/>
  <c r="G64" i="50"/>
  <c r="H64" i="50" s="1"/>
  <c r="G63" i="50"/>
  <c r="H57" i="50"/>
  <c r="G56" i="50"/>
  <c r="H56" i="50" s="1"/>
  <c r="G55" i="50"/>
  <c r="H55" i="50" s="1"/>
  <c r="G53" i="50"/>
  <c r="H53" i="50" s="1"/>
  <c r="H52" i="50"/>
  <c r="G52" i="50"/>
  <c r="H41" i="50"/>
  <c r="F39" i="50"/>
  <c r="G39" i="50" s="1"/>
  <c r="H39" i="50" s="1"/>
  <c r="E39" i="50"/>
  <c r="D39" i="50"/>
  <c r="G38" i="50"/>
  <c r="H38" i="50" s="1"/>
  <c r="G29" i="50"/>
  <c r="H29" i="50" s="1"/>
  <c r="G28" i="50"/>
  <c r="H28" i="50" s="1"/>
  <c r="G25" i="50"/>
  <c r="H25" i="50" s="1"/>
  <c r="G24" i="50"/>
  <c r="H24" i="50" s="1"/>
  <c r="G86" i="49"/>
  <c r="G69" i="49"/>
  <c r="G68" i="49"/>
  <c r="G67" i="49"/>
  <c r="G66" i="49"/>
  <c r="G65" i="49"/>
  <c r="G64" i="49"/>
  <c r="G63" i="49"/>
  <c r="G57" i="49"/>
  <c r="H57" i="49" s="1"/>
  <c r="G56" i="49"/>
  <c r="G55" i="49"/>
  <c r="H55" i="49" s="1"/>
  <c r="G54" i="49"/>
  <c r="G53" i="49"/>
  <c r="H53" i="49" s="1"/>
  <c r="G52" i="49"/>
  <c r="H52" i="49" s="1"/>
  <c r="G41" i="49"/>
  <c r="H41" i="49" s="1"/>
  <c r="G42" i="49"/>
  <c r="G37" i="49"/>
  <c r="H37" i="49" s="1"/>
  <c r="G111" i="48"/>
  <c r="H111" i="48" s="1"/>
  <c r="G109" i="48"/>
  <c r="H109" i="48" s="1"/>
  <c r="G108" i="48"/>
  <c r="H108" i="48" s="1"/>
  <c r="G106" i="48"/>
  <c r="H106" i="48" s="1"/>
  <c r="G41" i="48"/>
  <c r="H41" i="48" s="1"/>
  <c r="F41" i="44"/>
  <c r="E41" i="44"/>
  <c r="D41" i="44"/>
  <c r="H42" i="47"/>
  <c r="G42" i="44"/>
  <c r="H42" i="44" s="1"/>
  <c r="H51" i="40" l="1"/>
  <c r="H50" i="40"/>
  <c r="I50" i="40" s="1"/>
  <c r="F223" i="40" l="1"/>
  <c r="G223" i="40"/>
  <c r="E223" i="40"/>
  <c r="F216" i="40"/>
  <c r="F217" i="40" s="1"/>
  <c r="G216" i="40"/>
  <c r="G217" i="40" s="1"/>
  <c r="E216" i="40"/>
  <c r="E217" i="40" s="1"/>
  <c r="F214" i="40"/>
  <c r="G214" i="40"/>
  <c r="E214" i="40"/>
  <c r="E215" i="40"/>
  <c r="F211" i="40"/>
  <c r="G211" i="40"/>
  <c r="E211" i="40"/>
  <c r="F210" i="40"/>
  <c r="G210" i="40"/>
  <c r="E210" i="40"/>
  <c r="E212" i="40" s="1"/>
  <c r="F208" i="40"/>
  <c r="G208" i="40"/>
  <c r="F207" i="40"/>
  <c r="G207" i="40"/>
  <c r="F206" i="40"/>
  <c r="G206" i="40"/>
  <c r="F205" i="40"/>
  <c r="G205" i="40"/>
  <c r="F204" i="40"/>
  <c r="G204" i="40"/>
  <c r="E205" i="40"/>
  <c r="E206" i="40"/>
  <c r="E207" i="40"/>
  <c r="E208" i="40"/>
  <c r="E204" i="40"/>
  <c r="F201" i="40"/>
  <c r="G201" i="40"/>
  <c r="F200" i="40"/>
  <c r="G200" i="40"/>
  <c r="E200" i="40"/>
  <c r="E201" i="40"/>
  <c r="F199" i="40"/>
  <c r="G199" i="40"/>
  <c r="E199" i="40"/>
  <c r="F196" i="40"/>
  <c r="G196" i="40"/>
  <c r="F195" i="40"/>
  <c r="G195" i="40"/>
  <c r="F194" i="40"/>
  <c r="G194" i="40"/>
  <c r="F193" i="40"/>
  <c r="G193" i="40"/>
  <c r="F192" i="40"/>
  <c r="G192" i="40"/>
  <c r="E192" i="40"/>
  <c r="E193" i="40"/>
  <c r="E194" i="40"/>
  <c r="E195" i="40"/>
  <c r="E196" i="40"/>
  <c r="F191" i="40"/>
  <c r="G191" i="40"/>
  <c r="E191" i="40"/>
  <c r="F189" i="40"/>
  <c r="G189" i="40"/>
  <c r="F188" i="40"/>
  <c r="G188" i="40"/>
  <c r="F187" i="40"/>
  <c r="G187" i="40"/>
  <c r="F186" i="40"/>
  <c r="G186" i="40"/>
  <c r="F185" i="40"/>
  <c r="G185" i="40"/>
  <c r="E185" i="40"/>
  <c r="E186" i="40"/>
  <c r="E187" i="40"/>
  <c r="E188" i="40"/>
  <c r="E189" i="40"/>
  <c r="F184" i="40"/>
  <c r="G184" i="40"/>
  <c r="E184" i="40"/>
  <c r="H74" i="56"/>
  <c r="H74" i="55"/>
  <c r="H74" i="45"/>
  <c r="H74" i="47"/>
  <c r="G73" i="53"/>
  <c r="G73" i="51"/>
  <c r="G73" i="50"/>
  <c r="G73" i="49"/>
  <c r="G73" i="48"/>
  <c r="F108" i="40"/>
  <c r="F109" i="40" s="1"/>
  <c r="G108" i="40"/>
  <c r="G109" i="40" s="1"/>
  <c r="E108" i="40"/>
  <c r="E109" i="40" s="1"/>
  <c r="F104" i="40"/>
  <c r="F105" i="40" s="1"/>
  <c r="G104" i="40"/>
  <c r="G105" i="40" s="1"/>
  <c r="E104" i="40"/>
  <c r="E105" i="40" s="1"/>
  <c r="F102" i="40"/>
  <c r="G102" i="40"/>
  <c r="E102" i="40"/>
  <c r="F101" i="40"/>
  <c r="G101" i="40"/>
  <c r="E101" i="40"/>
  <c r="F98" i="40"/>
  <c r="G98" i="40"/>
  <c r="F97" i="40"/>
  <c r="G97" i="40"/>
  <c r="F96" i="40"/>
  <c r="G96" i="40"/>
  <c r="F95" i="40"/>
  <c r="G95" i="40"/>
  <c r="E95" i="40"/>
  <c r="E96" i="40"/>
  <c r="E97" i="40"/>
  <c r="E98" i="40"/>
  <c r="F94" i="40"/>
  <c r="G94" i="40"/>
  <c r="E94" i="40"/>
  <c r="F92" i="40"/>
  <c r="G92" i="40"/>
  <c r="E92" i="40"/>
  <c r="F91" i="40"/>
  <c r="G91" i="40"/>
  <c r="E91" i="40"/>
  <c r="F89" i="40"/>
  <c r="G89" i="40"/>
  <c r="F88" i="40"/>
  <c r="G88" i="40"/>
  <c r="F87" i="40"/>
  <c r="G87" i="40"/>
  <c r="E87" i="40"/>
  <c r="E88" i="40"/>
  <c r="E89" i="40"/>
  <c r="G86" i="40"/>
  <c r="F86" i="40"/>
  <c r="E86" i="40"/>
  <c r="E218" i="40" l="1"/>
  <c r="G93" i="40"/>
  <c r="G212" i="40"/>
  <c r="F93" i="40"/>
  <c r="G215" i="40"/>
  <c r="H179" i="40"/>
  <c r="I179" i="40" s="1"/>
  <c r="G90" i="40"/>
  <c r="E93" i="40"/>
  <c r="G209" i="40"/>
  <c r="F99" i="40"/>
  <c r="G202" i="40"/>
  <c r="E103" i="40"/>
  <c r="F212" i="40"/>
  <c r="F215" i="40"/>
  <c r="F218" i="40" s="1"/>
  <c r="G225" i="40"/>
  <c r="G103" i="40"/>
  <c r="E209" i="40"/>
  <c r="F209" i="40"/>
  <c r="G190" i="40"/>
  <c r="G198" i="40"/>
  <c r="G203" i="40" s="1"/>
  <c r="E90" i="40"/>
  <c r="F103" i="40"/>
  <c r="G99" i="40"/>
  <c r="E190" i="40"/>
  <c r="E198" i="40"/>
  <c r="F190" i="40"/>
  <c r="F198" i="40"/>
  <c r="E225" i="40"/>
  <c r="E202" i="40"/>
  <c r="F225" i="40"/>
  <c r="F90" i="40"/>
  <c r="G218" i="40"/>
  <c r="E99" i="40"/>
  <c r="H135" i="40"/>
  <c r="I135" i="40" s="1"/>
  <c r="F202" i="40"/>
  <c r="E51" i="42"/>
  <c r="F51" i="42"/>
  <c r="D51" i="42"/>
  <c r="E23" i="42"/>
  <c r="F23" i="42"/>
  <c r="H22" i="42"/>
  <c r="G16" i="42"/>
  <c r="H16" i="42" s="1"/>
  <c r="D23" i="42"/>
  <c r="F15" i="40"/>
  <c r="F16" i="40" s="1"/>
  <c r="G16" i="40"/>
  <c r="G23" i="40" s="1"/>
  <c r="H23" i="40" s="1"/>
  <c r="E15" i="40"/>
  <c r="E16" i="40" s="1"/>
  <c r="H15" i="42"/>
  <c r="G15" i="41"/>
  <c r="F203" i="40" l="1"/>
  <c r="E203" i="40"/>
  <c r="E228" i="40" s="1"/>
  <c r="H15" i="41"/>
  <c r="G16" i="41"/>
  <c r="H16" i="41" s="1"/>
  <c r="E100" i="40"/>
  <c r="E110" i="40" s="1"/>
  <c r="F100" i="40"/>
  <c r="F110" i="40" s="1"/>
  <c r="G100" i="40"/>
  <c r="G110" i="40" s="1"/>
  <c r="F228" i="40"/>
  <c r="G228" i="40"/>
  <c r="H16" i="40"/>
  <c r="I16" i="40" s="1"/>
  <c r="H15" i="40"/>
  <c r="I15" i="40" s="1"/>
  <c r="D50" i="41" l="1"/>
  <c r="D48" i="41"/>
  <c r="E51" i="41"/>
  <c r="D51" i="41"/>
  <c r="F51" i="41" l="1"/>
  <c r="F79" i="40"/>
  <c r="G79" i="40"/>
  <c r="E79" i="40"/>
  <c r="E81" i="40" s="1"/>
  <c r="F77" i="40"/>
  <c r="G77" i="40"/>
  <c r="E77" i="40"/>
  <c r="F76" i="40"/>
  <c r="G76" i="40"/>
  <c r="E76" i="40"/>
  <c r="G24" i="37"/>
  <c r="H24" i="37" s="1"/>
  <c r="F74" i="40"/>
  <c r="F75" i="40" s="1"/>
  <c r="G74" i="40"/>
  <c r="G75" i="40" s="1"/>
  <c r="E74" i="40"/>
  <c r="E75" i="40" s="1"/>
  <c r="F73" i="40"/>
  <c r="G73" i="40"/>
  <c r="E73" i="40"/>
  <c r="F72" i="40"/>
  <c r="G72" i="40"/>
  <c r="E72" i="40"/>
  <c r="F70" i="40"/>
  <c r="G70" i="40"/>
  <c r="E70" i="40"/>
  <c r="F68" i="40"/>
  <c r="G68" i="40"/>
  <c r="E68" i="40"/>
  <c r="F67" i="40"/>
  <c r="G67" i="40"/>
  <c r="E67" i="40"/>
  <c r="F65" i="40"/>
  <c r="G65" i="40"/>
  <c r="E65" i="40"/>
  <c r="F64" i="40"/>
  <c r="G64" i="40"/>
  <c r="E64" i="40"/>
  <c r="F61" i="40"/>
  <c r="G61" i="40"/>
  <c r="E61" i="40"/>
  <c r="G78" i="40" l="1"/>
  <c r="H77" i="40"/>
  <c r="I77" i="40" s="1"/>
  <c r="H75" i="40"/>
  <c r="I75" i="40" s="1"/>
  <c r="G81" i="40"/>
  <c r="F81" i="40"/>
  <c r="E78" i="40"/>
  <c r="H78" i="40" s="1"/>
  <c r="I78" i="40" s="1"/>
  <c r="F78" i="40"/>
  <c r="H79" i="40"/>
  <c r="I79" i="40" s="1"/>
  <c r="H76" i="40"/>
  <c r="I76" i="40" s="1"/>
  <c r="F71" i="40"/>
  <c r="H70" i="40"/>
  <c r="I70" i="40" s="1"/>
  <c r="G66" i="40"/>
  <c r="E71" i="40"/>
  <c r="E66" i="40"/>
  <c r="F66" i="40"/>
  <c r="H68" i="40"/>
  <c r="I68" i="40" s="1"/>
  <c r="G63" i="40"/>
  <c r="F63" i="40"/>
  <c r="E63" i="40"/>
  <c r="G71" i="40"/>
  <c r="H74" i="40"/>
  <c r="I74" i="40" s="1"/>
  <c r="H73" i="40"/>
  <c r="I73" i="40" s="1"/>
  <c r="H72" i="40"/>
  <c r="I72" i="40" s="1"/>
  <c r="H67" i="40"/>
  <c r="I67" i="40" s="1"/>
  <c r="H65" i="40"/>
  <c r="I65" i="40" s="1"/>
  <c r="H64" i="40"/>
  <c r="F56" i="40"/>
  <c r="E48" i="40"/>
  <c r="F41" i="40"/>
  <c r="E56" i="40"/>
  <c r="F53" i="40"/>
  <c r="H54" i="40"/>
  <c r="I54" i="40" s="1"/>
  <c r="H55" i="40"/>
  <c r="I55" i="40" s="1"/>
  <c r="I51" i="40"/>
  <c r="F48" i="40"/>
  <c r="H52" i="40"/>
  <c r="H39" i="40"/>
  <c r="I39" i="40" s="1"/>
  <c r="H40" i="40"/>
  <c r="I40" i="40" s="1"/>
  <c r="F82" i="40" l="1"/>
  <c r="D20" i="35" s="1"/>
  <c r="E82" i="40"/>
  <c r="C20" i="35" s="1"/>
  <c r="G82" i="40"/>
  <c r="E20" i="35" s="1"/>
  <c r="H71" i="40"/>
  <c r="I71" i="40" s="1"/>
  <c r="H56" i="40"/>
  <c r="H81" i="40"/>
  <c r="I81" i="40" s="1"/>
  <c r="H66" i="40"/>
  <c r="I66" i="40" s="1"/>
  <c r="H63" i="40"/>
  <c r="I63" i="40" s="1"/>
  <c r="H53" i="40"/>
  <c r="I53" i="40" s="1"/>
  <c r="I41" i="40"/>
  <c r="F20" i="35" l="1"/>
  <c r="G20" i="35" s="1"/>
  <c r="F21" i="40"/>
  <c r="E21" i="40"/>
  <c r="F20" i="40"/>
  <c r="E20" i="40"/>
  <c r="F18" i="40"/>
  <c r="E18" i="40"/>
  <c r="F17" i="40"/>
  <c r="E17" i="40"/>
  <c r="F13" i="40"/>
  <c r="E13" i="40"/>
  <c r="F10" i="40"/>
  <c r="F11" i="40" s="1"/>
  <c r="G10" i="40"/>
  <c r="G11" i="40" s="1"/>
  <c r="E10" i="40"/>
  <c r="E11" i="40" s="1"/>
  <c r="F8" i="40"/>
  <c r="F9" i="40" s="1"/>
  <c r="G9" i="40"/>
  <c r="E8" i="40"/>
  <c r="E9" i="40" s="1"/>
  <c r="E19" i="40" l="1"/>
  <c r="F38" i="40"/>
  <c r="E22" i="40"/>
  <c r="E14" i="40"/>
  <c r="F35" i="40"/>
  <c r="E50" i="17"/>
  <c r="D50" i="17"/>
  <c r="G50" i="17" s="1"/>
  <c r="E46" i="17"/>
  <c r="D46" i="17"/>
  <c r="G46" i="17" s="1"/>
  <c r="E44" i="17"/>
  <c r="D44" i="17"/>
  <c r="G44" i="17" s="1"/>
  <c r="E40" i="17"/>
  <c r="D40" i="17"/>
  <c r="G40" i="17" s="1"/>
  <c r="E34" i="17"/>
  <c r="D34" i="17"/>
  <c r="G34" i="17" s="1"/>
  <c r="D31" i="17"/>
  <c r="G31" i="17" s="1"/>
  <c r="E22" i="17"/>
  <c r="D22" i="17"/>
  <c r="G22" i="17" s="1"/>
  <c r="H22" i="17" s="1"/>
  <c r="E23" i="40" l="1"/>
  <c r="D41" i="17"/>
  <c r="E41" i="17"/>
  <c r="D51" i="17" l="1"/>
  <c r="C6" i="35" s="1"/>
  <c r="G41" i="17"/>
  <c r="E51" i="17"/>
  <c r="E19" i="17"/>
  <c r="D19" i="17"/>
  <c r="G19" i="17" s="1"/>
  <c r="H19" i="17" s="1"/>
  <c r="E14" i="17"/>
  <c r="D14" i="17"/>
  <c r="G14" i="17" s="1"/>
  <c r="H14" i="17" s="1"/>
  <c r="E11" i="17"/>
  <c r="D11" i="17"/>
  <c r="G11" i="17" s="1"/>
  <c r="H11" i="17" s="1"/>
  <c r="E9" i="17" l="1"/>
  <c r="D9" i="17"/>
  <c r="D23" i="17" l="1"/>
  <c r="G23" i="17" s="1"/>
  <c r="G9" i="17"/>
  <c r="H9" i="17" s="1"/>
  <c r="E23" i="17"/>
  <c r="H155" i="40"/>
  <c r="I155" i="40" s="1"/>
  <c r="H156" i="40"/>
  <c r="I156" i="40" s="1"/>
  <c r="H157" i="40"/>
  <c r="I157" i="40" s="1"/>
  <c r="H158" i="40"/>
  <c r="I158" i="40" s="1"/>
  <c r="H159" i="40"/>
  <c r="I159" i="40" s="1"/>
  <c r="H160" i="40"/>
  <c r="I160" i="40" s="1"/>
  <c r="H161" i="40"/>
  <c r="I161" i="40" s="1"/>
  <c r="H162" i="40"/>
  <c r="I162" i="40" s="1"/>
  <c r="H163" i="40"/>
  <c r="I163" i="40" s="1"/>
  <c r="G93" i="10"/>
  <c r="G94" i="10"/>
  <c r="G95" i="10"/>
  <c r="G96" i="10"/>
  <c r="G97" i="10"/>
  <c r="G98" i="10"/>
  <c r="G99" i="10"/>
  <c r="G100" i="10"/>
  <c r="G101" i="10"/>
  <c r="G102" i="10"/>
  <c r="G103" i="10"/>
  <c r="H164" i="40" l="1"/>
  <c r="I164" i="40" s="1"/>
  <c r="H165" i="40"/>
  <c r="I165" i="40" s="1"/>
  <c r="E111" i="56" l="1"/>
  <c r="D111" i="56"/>
  <c r="H109" i="56"/>
  <c r="E108" i="56"/>
  <c r="D108" i="56"/>
  <c r="H107" i="56"/>
  <c r="E105" i="56"/>
  <c r="D105" i="56"/>
  <c r="G105" i="56" s="1"/>
  <c r="H100" i="56"/>
  <c r="H97" i="56"/>
  <c r="H96" i="56"/>
  <c r="H95" i="56"/>
  <c r="H94" i="56"/>
  <c r="H93" i="56"/>
  <c r="E82" i="56"/>
  <c r="D82" i="56"/>
  <c r="D106" i="56" s="1"/>
  <c r="G106" i="56" s="1"/>
  <c r="H81" i="56"/>
  <c r="H80" i="56"/>
  <c r="H78" i="56"/>
  <c r="H77" i="56"/>
  <c r="E76" i="56"/>
  <c r="D76" i="56"/>
  <c r="H75" i="56"/>
  <c r="H73" i="56"/>
  <c r="E71" i="56"/>
  <c r="D71" i="56"/>
  <c r="H70" i="56"/>
  <c r="H68" i="56"/>
  <c r="H66" i="56"/>
  <c r="H65" i="56"/>
  <c r="H64" i="56"/>
  <c r="E63" i="56"/>
  <c r="D63" i="56"/>
  <c r="H62" i="56"/>
  <c r="H61" i="56"/>
  <c r="H60" i="56"/>
  <c r="E59" i="56"/>
  <c r="D59" i="56"/>
  <c r="G59" i="56" s="1"/>
  <c r="H57" i="56"/>
  <c r="H56" i="56"/>
  <c r="H55" i="56"/>
  <c r="H54" i="56"/>
  <c r="H53" i="56"/>
  <c r="E48" i="56"/>
  <c r="D48" i="56"/>
  <c r="H47" i="56"/>
  <c r="H46" i="56"/>
  <c r="E45" i="56"/>
  <c r="D45" i="56"/>
  <c r="H44" i="56"/>
  <c r="H43" i="56"/>
  <c r="E40" i="56"/>
  <c r="D40" i="56"/>
  <c r="H38" i="56"/>
  <c r="E33" i="56"/>
  <c r="D33" i="56"/>
  <c r="H32" i="56"/>
  <c r="H31" i="56"/>
  <c r="E30" i="56"/>
  <c r="D30" i="56"/>
  <c r="H28" i="56"/>
  <c r="E27" i="56"/>
  <c r="D27" i="56"/>
  <c r="H25" i="56"/>
  <c r="E13" i="56"/>
  <c r="D13" i="56"/>
  <c r="H12" i="56"/>
  <c r="H11" i="56"/>
  <c r="H10" i="56"/>
  <c r="H9" i="56"/>
  <c r="E111" i="55"/>
  <c r="D111" i="55"/>
  <c r="H109" i="55"/>
  <c r="E108" i="55"/>
  <c r="D108" i="55"/>
  <c r="H107" i="55"/>
  <c r="E105" i="55"/>
  <c r="D105" i="55"/>
  <c r="G105" i="55" s="1"/>
  <c r="H100" i="55"/>
  <c r="H97" i="55"/>
  <c r="H96" i="55"/>
  <c r="H95" i="55"/>
  <c r="H94" i="55"/>
  <c r="H93" i="55"/>
  <c r="E82" i="55"/>
  <c r="D82" i="55"/>
  <c r="H81" i="55"/>
  <c r="H80" i="55"/>
  <c r="H78" i="55"/>
  <c r="H77" i="55"/>
  <c r="E76" i="55"/>
  <c r="D76" i="55"/>
  <c r="H75" i="55"/>
  <c r="H73" i="55"/>
  <c r="E71" i="55"/>
  <c r="D71" i="55"/>
  <c r="H70" i="55"/>
  <c r="H68" i="55"/>
  <c r="H66" i="55"/>
  <c r="H65" i="55"/>
  <c r="H64" i="55"/>
  <c r="E63" i="55"/>
  <c r="D63" i="55"/>
  <c r="H62" i="55"/>
  <c r="H61" i="55"/>
  <c r="H60" i="55"/>
  <c r="E59" i="55"/>
  <c r="D59" i="55"/>
  <c r="H57" i="55"/>
  <c r="H56" i="55"/>
  <c r="H55" i="55"/>
  <c r="H54" i="55"/>
  <c r="H53" i="55"/>
  <c r="E48" i="55"/>
  <c r="D48" i="55"/>
  <c r="H47" i="55"/>
  <c r="H46" i="55"/>
  <c r="E45" i="55"/>
  <c r="D45" i="55"/>
  <c r="H44" i="55"/>
  <c r="H43" i="55"/>
  <c r="E40" i="55"/>
  <c r="D40" i="55"/>
  <c r="H38" i="55"/>
  <c r="E33" i="55"/>
  <c r="D33" i="55"/>
  <c r="H32" i="55"/>
  <c r="H31" i="55"/>
  <c r="E30" i="55"/>
  <c r="D30" i="55"/>
  <c r="H28" i="55"/>
  <c r="E27" i="55"/>
  <c r="D27" i="55"/>
  <c r="E13" i="55"/>
  <c r="D13" i="55"/>
  <c r="G111" i="53"/>
  <c r="F110" i="53"/>
  <c r="E110" i="53"/>
  <c r="D110" i="53"/>
  <c r="G108" i="53"/>
  <c r="H108" i="53" s="1"/>
  <c r="F107" i="53"/>
  <c r="E107" i="53"/>
  <c r="D107" i="53"/>
  <c r="G107" i="53" s="1"/>
  <c r="G106" i="53"/>
  <c r="F104" i="53"/>
  <c r="G104" i="53" s="1"/>
  <c r="E104" i="53"/>
  <c r="D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F81" i="53"/>
  <c r="F105" i="53" s="1"/>
  <c r="E81" i="53"/>
  <c r="E105" i="53" s="1"/>
  <c r="D81" i="53"/>
  <c r="D105" i="53" s="1"/>
  <c r="G80" i="53"/>
  <c r="G79" i="53"/>
  <c r="G78" i="53"/>
  <c r="G77" i="53"/>
  <c r="G76" i="53"/>
  <c r="F75" i="53"/>
  <c r="E75" i="53"/>
  <c r="D75" i="53"/>
  <c r="G74" i="53"/>
  <c r="G72" i="53"/>
  <c r="F70" i="53"/>
  <c r="G70" i="53" s="1"/>
  <c r="E70" i="53"/>
  <c r="D70" i="53"/>
  <c r="G69" i="53"/>
  <c r="G68" i="53"/>
  <c r="G67" i="53"/>
  <c r="G66" i="53"/>
  <c r="G65" i="53"/>
  <c r="G64" i="53"/>
  <c r="G63" i="53"/>
  <c r="F62" i="53"/>
  <c r="G62" i="53" s="1"/>
  <c r="E62" i="53"/>
  <c r="D62" i="53"/>
  <c r="G61" i="53"/>
  <c r="G60" i="53"/>
  <c r="G59" i="53"/>
  <c r="F58" i="53"/>
  <c r="F71" i="53" s="1"/>
  <c r="E58" i="53"/>
  <c r="E71" i="53" s="1"/>
  <c r="D58" i="53"/>
  <c r="D71" i="53" s="1"/>
  <c r="G55" i="53"/>
  <c r="H55" i="53" s="1"/>
  <c r="G53" i="53"/>
  <c r="H53" i="53" s="1"/>
  <c r="G52" i="53"/>
  <c r="H52" i="53" s="1"/>
  <c r="F47" i="53"/>
  <c r="E47" i="53"/>
  <c r="D47" i="53"/>
  <c r="G46" i="53"/>
  <c r="G45" i="53"/>
  <c r="F44" i="53"/>
  <c r="G44" i="53" s="1"/>
  <c r="H44" i="53" s="1"/>
  <c r="E44" i="53"/>
  <c r="D44" i="53"/>
  <c r="G43" i="53"/>
  <c r="G42" i="53"/>
  <c r="G40" i="53"/>
  <c r="F39" i="53"/>
  <c r="E39" i="53"/>
  <c r="E48" i="53" s="1"/>
  <c r="D39" i="53"/>
  <c r="G38" i="53"/>
  <c r="G37" i="53"/>
  <c r="H37" i="53" s="1"/>
  <c r="F36" i="53"/>
  <c r="E36" i="53"/>
  <c r="D36" i="53"/>
  <c r="G35" i="53"/>
  <c r="G34" i="53"/>
  <c r="F33" i="53"/>
  <c r="E33" i="53"/>
  <c r="D33" i="53"/>
  <c r="G32" i="53"/>
  <c r="G31" i="53"/>
  <c r="F30" i="53"/>
  <c r="E30" i="53"/>
  <c r="D30" i="53"/>
  <c r="G29" i="53"/>
  <c r="G28" i="53"/>
  <c r="F27" i="53"/>
  <c r="G27" i="53" s="1"/>
  <c r="E27" i="53"/>
  <c r="D27" i="53"/>
  <c r="G26" i="53"/>
  <c r="G25" i="53"/>
  <c r="G24" i="53"/>
  <c r="G23" i="53"/>
  <c r="F22" i="53"/>
  <c r="E22" i="53"/>
  <c r="D22" i="53"/>
  <c r="G21" i="53"/>
  <c r="H21" i="53" s="1"/>
  <c r="G20" i="53"/>
  <c r="G19" i="53"/>
  <c r="G18" i="53"/>
  <c r="G17" i="53"/>
  <c r="G16" i="53"/>
  <c r="G15" i="53"/>
  <c r="G14" i="53"/>
  <c r="F13" i="53"/>
  <c r="E13" i="53"/>
  <c r="D13" i="53"/>
  <c r="G13" i="53" s="1"/>
  <c r="G12" i="53"/>
  <c r="G11" i="53"/>
  <c r="G10" i="53"/>
  <c r="G9" i="53"/>
  <c r="G8" i="53"/>
  <c r="G111" i="54"/>
  <c r="F110" i="54"/>
  <c r="G110" i="54" s="1"/>
  <c r="E110" i="54"/>
  <c r="D110" i="54"/>
  <c r="F107" i="54"/>
  <c r="G107" i="54" s="1"/>
  <c r="E107" i="54"/>
  <c r="D107" i="54"/>
  <c r="G106" i="54"/>
  <c r="F104" i="54"/>
  <c r="E104" i="54"/>
  <c r="D104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F81" i="54"/>
  <c r="F105" i="54" s="1"/>
  <c r="E81" i="54"/>
  <c r="D81" i="54"/>
  <c r="G80" i="54"/>
  <c r="G79" i="54"/>
  <c r="G78" i="54"/>
  <c r="G77" i="54"/>
  <c r="G76" i="54"/>
  <c r="F75" i="54"/>
  <c r="E75" i="54"/>
  <c r="D75" i="54"/>
  <c r="G74" i="54"/>
  <c r="G72" i="54"/>
  <c r="H72" i="54" s="1"/>
  <c r="F70" i="54"/>
  <c r="E70" i="54"/>
  <c r="D70" i="54"/>
  <c r="G69" i="54"/>
  <c r="G68" i="54"/>
  <c r="F62" i="54"/>
  <c r="G62" i="54" s="1"/>
  <c r="E62" i="54"/>
  <c r="D62" i="54"/>
  <c r="F58" i="54"/>
  <c r="E58" i="54"/>
  <c r="D58" i="54"/>
  <c r="F47" i="54"/>
  <c r="E47" i="54"/>
  <c r="D47" i="54"/>
  <c r="G46" i="54"/>
  <c r="G45" i="54"/>
  <c r="F44" i="54"/>
  <c r="E44" i="54"/>
  <c r="D44" i="54"/>
  <c r="G43" i="54"/>
  <c r="G42" i="54"/>
  <c r="G40" i="54"/>
  <c r="F39" i="54"/>
  <c r="E39" i="54"/>
  <c r="D39" i="54"/>
  <c r="F36" i="54"/>
  <c r="E36" i="54"/>
  <c r="D36" i="54"/>
  <c r="G35" i="54"/>
  <c r="G34" i="54"/>
  <c r="F33" i="54"/>
  <c r="G33" i="54" s="1"/>
  <c r="E33" i="54"/>
  <c r="D33" i="54"/>
  <c r="G32" i="54"/>
  <c r="G31" i="54"/>
  <c r="F30" i="54"/>
  <c r="E30" i="54"/>
  <c r="D30" i="54"/>
  <c r="F27" i="54"/>
  <c r="E27" i="54"/>
  <c r="D27" i="54"/>
  <c r="G23" i="54"/>
  <c r="F22" i="54"/>
  <c r="G22" i="54" s="1"/>
  <c r="E22" i="54"/>
  <c r="D22" i="54"/>
  <c r="G21" i="54"/>
  <c r="G20" i="54"/>
  <c r="G19" i="54"/>
  <c r="G18" i="54"/>
  <c r="G17" i="54"/>
  <c r="G16" i="54"/>
  <c r="G15" i="54"/>
  <c r="G14" i="54"/>
  <c r="F13" i="54"/>
  <c r="E13" i="54"/>
  <c r="D13" i="54"/>
  <c r="G13" i="54" s="1"/>
  <c r="G12" i="54"/>
  <c r="G11" i="54"/>
  <c r="G10" i="54"/>
  <c r="G9" i="54"/>
  <c r="G8" i="54"/>
  <c r="G111" i="52"/>
  <c r="F110" i="52"/>
  <c r="E110" i="52"/>
  <c r="D110" i="52"/>
  <c r="G109" i="52"/>
  <c r="G108" i="52"/>
  <c r="H108" i="52" s="1"/>
  <c r="F107" i="52"/>
  <c r="G107" i="52" s="1"/>
  <c r="E107" i="52"/>
  <c r="D107" i="52"/>
  <c r="G106" i="52"/>
  <c r="F104" i="52"/>
  <c r="E104" i="52"/>
  <c r="E105" i="52" s="1"/>
  <c r="D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F81" i="52"/>
  <c r="E81" i="52"/>
  <c r="D81" i="52"/>
  <c r="G80" i="52"/>
  <c r="G79" i="52"/>
  <c r="G78" i="52"/>
  <c r="G77" i="52"/>
  <c r="G76" i="52"/>
  <c r="F75" i="52"/>
  <c r="E75" i="52"/>
  <c r="D75" i="52"/>
  <c r="F70" i="52"/>
  <c r="E70" i="52"/>
  <c r="D70" i="52"/>
  <c r="G69" i="52"/>
  <c r="G68" i="52"/>
  <c r="G67" i="52"/>
  <c r="G63" i="52"/>
  <c r="F62" i="52"/>
  <c r="E62" i="52"/>
  <c r="D62" i="52"/>
  <c r="G61" i="52"/>
  <c r="G60" i="52"/>
  <c r="G59" i="52"/>
  <c r="F58" i="52"/>
  <c r="E58" i="52"/>
  <c r="D58" i="52"/>
  <c r="G47" i="52"/>
  <c r="F47" i="52"/>
  <c r="E47" i="52"/>
  <c r="D47" i="52"/>
  <c r="F44" i="52"/>
  <c r="E44" i="52"/>
  <c r="D44" i="52"/>
  <c r="G40" i="52"/>
  <c r="F39" i="52"/>
  <c r="E39" i="52"/>
  <c r="D39" i="52"/>
  <c r="F36" i="52"/>
  <c r="G36" i="52" s="1"/>
  <c r="E36" i="52"/>
  <c r="D36" i="52"/>
  <c r="G35" i="52"/>
  <c r="G34" i="52"/>
  <c r="F33" i="52"/>
  <c r="G33" i="52" s="1"/>
  <c r="E33" i="52"/>
  <c r="D33" i="52"/>
  <c r="G32" i="52"/>
  <c r="G31" i="52"/>
  <c r="F30" i="52"/>
  <c r="E30" i="52"/>
  <c r="D30" i="52"/>
  <c r="G29" i="52"/>
  <c r="G28" i="52"/>
  <c r="F27" i="52"/>
  <c r="E27" i="52"/>
  <c r="D27" i="52"/>
  <c r="G26" i="52"/>
  <c r="G25" i="52"/>
  <c r="G24" i="52"/>
  <c r="G23" i="52"/>
  <c r="F22" i="52"/>
  <c r="E22" i="52"/>
  <c r="D22" i="52"/>
  <c r="G20" i="52"/>
  <c r="G19" i="52"/>
  <c r="G18" i="52"/>
  <c r="G17" i="52"/>
  <c r="G16" i="52"/>
  <c r="G15" i="52"/>
  <c r="G14" i="52"/>
  <c r="F13" i="52"/>
  <c r="G13" i="52" s="1"/>
  <c r="E13" i="52"/>
  <c r="D13" i="52"/>
  <c r="G12" i="52"/>
  <c r="G11" i="52"/>
  <c r="G10" i="52"/>
  <c r="G9" i="52"/>
  <c r="G8" i="52"/>
  <c r="G111" i="51"/>
  <c r="F110" i="51"/>
  <c r="G110" i="51" s="1"/>
  <c r="H110" i="51" s="1"/>
  <c r="E110" i="51"/>
  <c r="D110" i="51"/>
  <c r="G108" i="51"/>
  <c r="F107" i="51"/>
  <c r="E107" i="51"/>
  <c r="D107" i="51"/>
  <c r="G107" i="51" s="1"/>
  <c r="G106" i="51"/>
  <c r="F104" i="51"/>
  <c r="E104" i="51"/>
  <c r="D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7" i="51"/>
  <c r="G86" i="51"/>
  <c r="G85" i="51"/>
  <c r="G84" i="51"/>
  <c r="G83" i="51"/>
  <c r="G82" i="51"/>
  <c r="F81" i="51"/>
  <c r="F105" i="51" s="1"/>
  <c r="E81" i="51"/>
  <c r="D81" i="51"/>
  <c r="G81" i="51" s="1"/>
  <c r="G80" i="51"/>
  <c r="G79" i="51"/>
  <c r="G78" i="51"/>
  <c r="G77" i="51"/>
  <c r="G76" i="51"/>
  <c r="F75" i="51"/>
  <c r="G75" i="51" s="1"/>
  <c r="E75" i="51"/>
  <c r="D75" i="51"/>
  <c r="G74" i="51"/>
  <c r="G72" i="51"/>
  <c r="F70" i="51"/>
  <c r="E70" i="51"/>
  <c r="D70" i="51"/>
  <c r="F62" i="51"/>
  <c r="E62" i="51"/>
  <c r="D62" i="51"/>
  <c r="G61" i="51"/>
  <c r="G60" i="51"/>
  <c r="G59" i="51"/>
  <c r="F58" i="51"/>
  <c r="E58" i="51"/>
  <c r="E71" i="51" s="1"/>
  <c r="D58" i="51"/>
  <c r="F47" i="51"/>
  <c r="G47" i="51" s="1"/>
  <c r="E47" i="51"/>
  <c r="D47" i="51"/>
  <c r="G46" i="51"/>
  <c r="G45" i="51"/>
  <c r="F44" i="51"/>
  <c r="E44" i="51"/>
  <c r="D44" i="51"/>
  <c r="G43" i="51"/>
  <c r="G42" i="51"/>
  <c r="G40" i="51"/>
  <c r="F39" i="51"/>
  <c r="E39" i="51"/>
  <c r="D39" i="51"/>
  <c r="G38" i="51"/>
  <c r="F36" i="51"/>
  <c r="E36" i="51"/>
  <c r="D36" i="51"/>
  <c r="G35" i="51"/>
  <c r="G34" i="51"/>
  <c r="F33" i="51"/>
  <c r="G33" i="51" s="1"/>
  <c r="E33" i="51"/>
  <c r="D33" i="51"/>
  <c r="G32" i="51"/>
  <c r="G31" i="51"/>
  <c r="F30" i="51"/>
  <c r="E30" i="51"/>
  <c r="D30" i="51"/>
  <c r="G29" i="51"/>
  <c r="G28" i="51"/>
  <c r="F27" i="51"/>
  <c r="F48" i="51" s="1"/>
  <c r="E27" i="51"/>
  <c r="D27" i="51"/>
  <c r="G26" i="51"/>
  <c r="G25" i="51"/>
  <c r="G24" i="51"/>
  <c r="H24" i="51" s="1"/>
  <c r="G23" i="51"/>
  <c r="F22" i="51"/>
  <c r="E22" i="51"/>
  <c r="D22" i="51"/>
  <c r="G22" i="51" s="1"/>
  <c r="G21" i="51"/>
  <c r="G20" i="51"/>
  <c r="G19" i="51"/>
  <c r="G18" i="51"/>
  <c r="G17" i="51"/>
  <c r="G16" i="51"/>
  <c r="G15" i="51"/>
  <c r="G14" i="51"/>
  <c r="F13" i="51"/>
  <c r="G13" i="51" s="1"/>
  <c r="E13" i="51"/>
  <c r="D13" i="51"/>
  <c r="G12" i="51"/>
  <c r="G11" i="51"/>
  <c r="G10" i="51"/>
  <c r="G9" i="51"/>
  <c r="G8" i="51"/>
  <c r="G111" i="50"/>
  <c r="F110" i="50"/>
  <c r="E110" i="50"/>
  <c r="D110" i="50"/>
  <c r="F107" i="50"/>
  <c r="E107" i="50"/>
  <c r="D107" i="50"/>
  <c r="G106" i="50"/>
  <c r="F104" i="50"/>
  <c r="E104" i="50"/>
  <c r="D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6" i="50"/>
  <c r="G85" i="50"/>
  <c r="G84" i="50"/>
  <c r="G83" i="50"/>
  <c r="G82" i="50"/>
  <c r="F81" i="50"/>
  <c r="F105" i="50" s="1"/>
  <c r="E81" i="50"/>
  <c r="E105" i="50" s="1"/>
  <c r="D81" i="50"/>
  <c r="G80" i="50"/>
  <c r="G79" i="50"/>
  <c r="G78" i="50"/>
  <c r="G77" i="50"/>
  <c r="G76" i="50"/>
  <c r="F75" i="50"/>
  <c r="E75" i="50"/>
  <c r="D75" i="50"/>
  <c r="G74" i="50"/>
  <c r="F70" i="50"/>
  <c r="E70" i="50"/>
  <c r="D70" i="50"/>
  <c r="F62" i="50"/>
  <c r="G62" i="50" s="1"/>
  <c r="E62" i="50"/>
  <c r="D62" i="50"/>
  <c r="G61" i="50"/>
  <c r="G60" i="50"/>
  <c r="G59" i="50"/>
  <c r="F58" i="50"/>
  <c r="E58" i="50"/>
  <c r="D58" i="50"/>
  <c r="F47" i="50"/>
  <c r="E47" i="50"/>
  <c r="D47" i="50"/>
  <c r="G46" i="50"/>
  <c r="G45" i="50"/>
  <c r="F44" i="50"/>
  <c r="E44" i="50"/>
  <c r="D44" i="50"/>
  <c r="G43" i="50"/>
  <c r="H43" i="50" s="1"/>
  <c r="G42" i="50"/>
  <c r="G40" i="50"/>
  <c r="G37" i="50"/>
  <c r="F36" i="50"/>
  <c r="E36" i="50"/>
  <c r="D36" i="50"/>
  <c r="G35" i="50"/>
  <c r="G34" i="50"/>
  <c r="F33" i="50"/>
  <c r="E33" i="50"/>
  <c r="D33" i="50"/>
  <c r="G32" i="50"/>
  <c r="G31" i="50"/>
  <c r="F30" i="50"/>
  <c r="E30" i="50"/>
  <c r="D30" i="50"/>
  <c r="F27" i="50"/>
  <c r="E27" i="50"/>
  <c r="D27" i="50"/>
  <c r="G23" i="50"/>
  <c r="F22" i="50"/>
  <c r="G22" i="50" s="1"/>
  <c r="E22" i="50"/>
  <c r="D22" i="50"/>
  <c r="G21" i="50"/>
  <c r="G20" i="50"/>
  <c r="G19" i="50"/>
  <c r="G18" i="50"/>
  <c r="G17" i="50"/>
  <c r="G16" i="50"/>
  <c r="G15" i="50"/>
  <c r="G14" i="50"/>
  <c r="F13" i="50"/>
  <c r="E13" i="50"/>
  <c r="D13" i="50"/>
  <c r="G12" i="50"/>
  <c r="G11" i="50"/>
  <c r="G10" i="50"/>
  <c r="G9" i="50"/>
  <c r="G8" i="50"/>
  <c r="G111" i="49"/>
  <c r="H111" i="49" s="1"/>
  <c r="F110" i="49"/>
  <c r="E110" i="49"/>
  <c r="D110" i="49"/>
  <c r="G109" i="49"/>
  <c r="G108" i="49"/>
  <c r="F107" i="49"/>
  <c r="E107" i="49"/>
  <c r="D107" i="49"/>
  <c r="G106" i="49"/>
  <c r="F104" i="49"/>
  <c r="E104" i="49"/>
  <c r="D104" i="49"/>
  <c r="G103" i="49"/>
  <c r="G102" i="49"/>
  <c r="G101" i="49"/>
  <c r="G100" i="49"/>
  <c r="G99" i="49"/>
  <c r="G98" i="49"/>
  <c r="G97" i="49"/>
  <c r="G96" i="49"/>
  <c r="G95" i="49"/>
  <c r="G94" i="49"/>
  <c r="G93" i="49"/>
  <c r="G92" i="49"/>
  <c r="G91" i="49"/>
  <c r="G90" i="49"/>
  <c r="G89" i="49"/>
  <c r="G88" i="49"/>
  <c r="G87" i="49"/>
  <c r="G85" i="49"/>
  <c r="G84" i="49"/>
  <c r="G83" i="49"/>
  <c r="G82" i="49"/>
  <c r="F81" i="49"/>
  <c r="E81" i="49"/>
  <c r="D81" i="49"/>
  <c r="G80" i="49"/>
  <c r="G79" i="49"/>
  <c r="G78" i="49"/>
  <c r="G77" i="49"/>
  <c r="G76" i="49"/>
  <c r="F75" i="49"/>
  <c r="E75" i="49"/>
  <c r="D75" i="49"/>
  <c r="G75" i="49" s="1"/>
  <c r="G74" i="49"/>
  <c r="G72" i="49"/>
  <c r="F62" i="49"/>
  <c r="E62" i="49"/>
  <c r="D62" i="49"/>
  <c r="G61" i="49"/>
  <c r="G60" i="49"/>
  <c r="G59" i="49"/>
  <c r="F58" i="49"/>
  <c r="E58" i="49"/>
  <c r="D58" i="49"/>
  <c r="F47" i="49"/>
  <c r="E47" i="49"/>
  <c r="D47" i="49"/>
  <c r="G46" i="49"/>
  <c r="H46" i="49" s="1"/>
  <c r="G45" i="49"/>
  <c r="H45" i="49" s="1"/>
  <c r="F44" i="49"/>
  <c r="G44" i="49" s="1"/>
  <c r="H44" i="49" s="1"/>
  <c r="E44" i="49"/>
  <c r="D44" i="49"/>
  <c r="G43" i="49"/>
  <c r="G40" i="49"/>
  <c r="F39" i="49"/>
  <c r="E39" i="49"/>
  <c r="D39" i="49"/>
  <c r="G38" i="49"/>
  <c r="F36" i="49"/>
  <c r="E36" i="49"/>
  <c r="D36" i="49"/>
  <c r="G35" i="49"/>
  <c r="G34" i="49"/>
  <c r="F33" i="49"/>
  <c r="E33" i="49"/>
  <c r="D33" i="49"/>
  <c r="G32" i="49"/>
  <c r="G31" i="49"/>
  <c r="F30" i="49"/>
  <c r="E30" i="49"/>
  <c r="D30" i="49"/>
  <c r="G29" i="49"/>
  <c r="G28" i="49"/>
  <c r="F27" i="49"/>
  <c r="E27" i="49"/>
  <c r="E48" i="49" s="1"/>
  <c r="D27" i="49"/>
  <c r="G26" i="49"/>
  <c r="G25" i="49"/>
  <c r="G24" i="49"/>
  <c r="G23" i="49"/>
  <c r="F22" i="49"/>
  <c r="E22" i="49"/>
  <c r="D22" i="49"/>
  <c r="G21" i="49"/>
  <c r="G20" i="49"/>
  <c r="G19" i="49"/>
  <c r="G18" i="49"/>
  <c r="G17" i="49"/>
  <c r="G16" i="49"/>
  <c r="G15" i="49"/>
  <c r="G14" i="49"/>
  <c r="F13" i="49"/>
  <c r="E13" i="49"/>
  <c r="D13" i="49"/>
  <c r="G12" i="49"/>
  <c r="G11" i="49"/>
  <c r="G10" i="49"/>
  <c r="G9" i="49"/>
  <c r="G8" i="49"/>
  <c r="F110" i="48"/>
  <c r="E110" i="48"/>
  <c r="D110" i="48"/>
  <c r="F107" i="48"/>
  <c r="E107" i="48"/>
  <c r="D107" i="48"/>
  <c r="F104" i="48"/>
  <c r="E104" i="48"/>
  <c r="D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H84" i="48" s="1"/>
  <c r="G83" i="48"/>
  <c r="H83" i="48" s="1"/>
  <c r="G82" i="48"/>
  <c r="H82" i="48" s="1"/>
  <c r="F81" i="48"/>
  <c r="G81" i="48" s="1"/>
  <c r="E81" i="48"/>
  <c r="E105" i="48" s="1"/>
  <c r="D81" i="48"/>
  <c r="D105" i="48" s="1"/>
  <c r="G80" i="48"/>
  <c r="G79" i="48"/>
  <c r="G78" i="48"/>
  <c r="G77" i="48"/>
  <c r="G76" i="48"/>
  <c r="F75" i="48"/>
  <c r="E75" i="48"/>
  <c r="D75" i="48"/>
  <c r="G74" i="48"/>
  <c r="H74" i="48" s="1"/>
  <c r="G72" i="48"/>
  <c r="H72" i="48" s="1"/>
  <c r="F70" i="48"/>
  <c r="E70" i="48"/>
  <c r="D70" i="48"/>
  <c r="G69" i="48"/>
  <c r="H69" i="48" s="1"/>
  <c r="G68" i="48"/>
  <c r="H68" i="48" s="1"/>
  <c r="G67" i="48"/>
  <c r="H67" i="48" s="1"/>
  <c r="G66" i="48"/>
  <c r="H66" i="48" s="1"/>
  <c r="G65" i="48"/>
  <c r="H65" i="48" s="1"/>
  <c r="G64" i="48"/>
  <c r="H64" i="48" s="1"/>
  <c r="G63" i="48"/>
  <c r="H63" i="48" s="1"/>
  <c r="F62" i="48"/>
  <c r="E62" i="48"/>
  <c r="D62" i="48"/>
  <c r="G61" i="48"/>
  <c r="H61" i="48" s="1"/>
  <c r="G60" i="48"/>
  <c r="H60" i="48" s="1"/>
  <c r="G59" i="48"/>
  <c r="H59" i="48" s="1"/>
  <c r="F58" i="48"/>
  <c r="E58" i="48"/>
  <c r="D58" i="48"/>
  <c r="G57" i="48"/>
  <c r="H57" i="48" s="1"/>
  <c r="G56" i="48"/>
  <c r="H56" i="48" s="1"/>
  <c r="G55" i="48"/>
  <c r="H55" i="48" s="1"/>
  <c r="G54" i="48"/>
  <c r="G53" i="48"/>
  <c r="H53" i="48" s="1"/>
  <c r="G52" i="48"/>
  <c r="H52" i="48" s="1"/>
  <c r="F44" i="48"/>
  <c r="E44" i="48"/>
  <c r="D44" i="48"/>
  <c r="G43" i="48"/>
  <c r="H43" i="48" s="1"/>
  <c r="G42" i="48"/>
  <c r="G40" i="48"/>
  <c r="H40" i="48" s="1"/>
  <c r="F39" i="48"/>
  <c r="G39" i="48" s="1"/>
  <c r="H39" i="48" s="1"/>
  <c r="E39" i="48"/>
  <c r="D39" i="48"/>
  <c r="G38" i="48"/>
  <c r="H38" i="48" s="1"/>
  <c r="G37" i="48"/>
  <c r="H37" i="48" s="1"/>
  <c r="F36" i="48"/>
  <c r="G36" i="48" s="1"/>
  <c r="H36" i="48" s="1"/>
  <c r="E36" i="48"/>
  <c r="D36" i="48"/>
  <c r="G35" i="48"/>
  <c r="H35" i="48" s="1"/>
  <c r="G34" i="48"/>
  <c r="H34" i="48" s="1"/>
  <c r="F30" i="48"/>
  <c r="E30" i="48"/>
  <c r="D30" i="48"/>
  <c r="G29" i="48"/>
  <c r="H29" i="48" s="1"/>
  <c r="G28" i="48"/>
  <c r="H28" i="48" s="1"/>
  <c r="F27" i="48"/>
  <c r="E27" i="48"/>
  <c r="D27" i="48"/>
  <c r="G26" i="48"/>
  <c r="H26" i="48" s="1"/>
  <c r="G25" i="48"/>
  <c r="H25" i="48" s="1"/>
  <c r="G24" i="48"/>
  <c r="H24" i="48" s="1"/>
  <c r="G23" i="48"/>
  <c r="F22" i="48"/>
  <c r="E22" i="48"/>
  <c r="D22" i="48"/>
  <c r="G21" i="48"/>
  <c r="H20" i="48"/>
  <c r="H19" i="48"/>
  <c r="G13" i="45" l="1"/>
  <c r="D72" i="55"/>
  <c r="D13" i="45"/>
  <c r="H27" i="56"/>
  <c r="H48" i="56"/>
  <c r="H108" i="56"/>
  <c r="H105" i="56"/>
  <c r="H71" i="56"/>
  <c r="E72" i="56"/>
  <c r="H59" i="56"/>
  <c r="D49" i="56"/>
  <c r="E49" i="56"/>
  <c r="H49" i="56" s="1"/>
  <c r="E106" i="55"/>
  <c r="H82" i="55"/>
  <c r="H45" i="55"/>
  <c r="H40" i="55"/>
  <c r="H33" i="55"/>
  <c r="F112" i="53"/>
  <c r="G22" i="53"/>
  <c r="H22" i="53" s="1"/>
  <c r="D48" i="53"/>
  <c r="E71" i="52"/>
  <c r="G110" i="52"/>
  <c r="H110" i="52" s="1"/>
  <c r="F48" i="52"/>
  <c r="G58" i="52"/>
  <c r="H58" i="52" s="1"/>
  <c r="E48" i="52"/>
  <c r="D48" i="54"/>
  <c r="F48" i="54"/>
  <c r="E48" i="51"/>
  <c r="D48" i="51"/>
  <c r="G58" i="50"/>
  <c r="H58" i="50" s="1"/>
  <c r="F48" i="49"/>
  <c r="G110" i="48"/>
  <c r="H110" i="48" s="1"/>
  <c r="G30" i="48"/>
  <c r="H30" i="48" s="1"/>
  <c r="E106" i="56"/>
  <c r="H111" i="55"/>
  <c r="H48" i="55"/>
  <c r="D49" i="55"/>
  <c r="E49" i="55"/>
  <c r="G39" i="53"/>
  <c r="H39" i="53" s="1"/>
  <c r="F48" i="53"/>
  <c r="D112" i="53"/>
  <c r="G112" i="53" s="1"/>
  <c r="H112" i="53" s="1"/>
  <c r="G22" i="52"/>
  <c r="H22" i="52" s="1"/>
  <c r="D48" i="52"/>
  <c r="D105" i="54"/>
  <c r="G105" i="54" s="1"/>
  <c r="H105" i="54" s="1"/>
  <c r="G104" i="54"/>
  <c r="H104" i="54" s="1"/>
  <c r="H75" i="54"/>
  <c r="E48" i="54"/>
  <c r="F48" i="50"/>
  <c r="D48" i="50"/>
  <c r="E48" i="50"/>
  <c r="D48" i="49"/>
  <c r="D48" i="48"/>
  <c r="E48" i="48"/>
  <c r="F48" i="48"/>
  <c r="H13" i="55"/>
  <c r="G44" i="54"/>
  <c r="H111" i="56"/>
  <c r="D72" i="56"/>
  <c r="D119" i="56" s="1"/>
  <c r="H108" i="55"/>
  <c r="H105" i="55"/>
  <c r="H76" i="55"/>
  <c r="H63" i="55"/>
  <c r="E112" i="53"/>
  <c r="D105" i="52"/>
  <c r="G39" i="52"/>
  <c r="H39" i="52" s="1"/>
  <c r="G39" i="54"/>
  <c r="H39" i="54" s="1"/>
  <c r="G58" i="51"/>
  <c r="G44" i="51"/>
  <c r="H44" i="51" s="1"/>
  <c r="G107" i="48"/>
  <c r="H107" i="48" s="1"/>
  <c r="D71" i="48"/>
  <c r="D112" i="48" s="1"/>
  <c r="E71" i="48"/>
  <c r="E112" i="48" s="1"/>
  <c r="F71" i="48"/>
  <c r="G44" i="48"/>
  <c r="H44" i="48" s="1"/>
  <c r="G70" i="48"/>
  <c r="H70" i="48" s="1"/>
  <c r="G75" i="48"/>
  <c r="H75" i="48" s="1"/>
  <c r="G58" i="48"/>
  <c r="H58" i="48" s="1"/>
  <c r="G62" i="48"/>
  <c r="H62" i="48" s="1"/>
  <c r="G104" i="48"/>
  <c r="H104" i="48" s="1"/>
  <c r="F105" i="48"/>
  <c r="F112" i="48" s="1"/>
  <c r="G27" i="48"/>
  <c r="H27" i="48" s="1"/>
  <c r="H30" i="56"/>
  <c r="H40" i="56"/>
  <c r="H45" i="56"/>
  <c r="H63" i="56"/>
  <c r="H76" i="56"/>
  <c r="H13" i="56"/>
  <c r="H33" i="56"/>
  <c r="D106" i="55"/>
  <c r="G106" i="55" s="1"/>
  <c r="H30" i="55"/>
  <c r="E72" i="55"/>
  <c r="H71" i="55"/>
  <c r="H59" i="55"/>
  <c r="G105" i="53"/>
  <c r="G47" i="53"/>
  <c r="G81" i="53"/>
  <c r="G33" i="53"/>
  <c r="G110" i="53"/>
  <c r="H110" i="53" s="1"/>
  <c r="G36" i="53"/>
  <c r="G30" i="53"/>
  <c r="G75" i="53"/>
  <c r="G104" i="52"/>
  <c r="H104" i="52" s="1"/>
  <c r="G30" i="52"/>
  <c r="G27" i="52"/>
  <c r="G44" i="52"/>
  <c r="H44" i="52" s="1"/>
  <c r="G62" i="52"/>
  <c r="G70" i="52"/>
  <c r="F105" i="52"/>
  <c r="E112" i="52"/>
  <c r="G47" i="54"/>
  <c r="G58" i="54"/>
  <c r="G36" i="54"/>
  <c r="D71" i="54"/>
  <c r="G30" i="54"/>
  <c r="H30" i="54" s="1"/>
  <c r="E71" i="54"/>
  <c r="G70" i="54"/>
  <c r="H70" i="54" s="1"/>
  <c r="E105" i="54"/>
  <c r="G36" i="51"/>
  <c r="G30" i="51"/>
  <c r="D71" i="51"/>
  <c r="G70" i="51"/>
  <c r="G39" i="51"/>
  <c r="H39" i="51" s="1"/>
  <c r="E105" i="51"/>
  <c r="E112" i="51" s="1"/>
  <c r="G104" i="51"/>
  <c r="G44" i="50"/>
  <c r="H44" i="50" s="1"/>
  <c r="G110" i="50"/>
  <c r="H110" i="50" s="1"/>
  <c r="G13" i="49"/>
  <c r="G47" i="49"/>
  <c r="H47" i="49" s="1"/>
  <c r="G107" i="49"/>
  <c r="G58" i="49"/>
  <c r="E105" i="49"/>
  <c r="F105" i="49"/>
  <c r="G104" i="49"/>
  <c r="G22" i="48"/>
  <c r="H22" i="48" s="1"/>
  <c r="H82" i="56"/>
  <c r="H27" i="55"/>
  <c r="G71" i="53"/>
  <c r="H71" i="53" s="1"/>
  <c r="G58" i="53"/>
  <c r="H58" i="53" s="1"/>
  <c r="F71" i="54"/>
  <c r="G27" i="54"/>
  <c r="D71" i="52"/>
  <c r="F71" i="52"/>
  <c r="G81" i="52"/>
  <c r="F71" i="51"/>
  <c r="G27" i="51"/>
  <c r="H27" i="51" s="1"/>
  <c r="D105" i="51"/>
  <c r="G62" i="51"/>
  <c r="D105" i="50"/>
  <c r="G105" i="50" s="1"/>
  <c r="H105" i="50" s="1"/>
  <c r="D71" i="50"/>
  <c r="G75" i="50"/>
  <c r="G13" i="50"/>
  <c r="G33" i="50"/>
  <c r="G36" i="50"/>
  <c r="E71" i="50"/>
  <c r="E112" i="50" s="1"/>
  <c r="G70" i="50"/>
  <c r="H70" i="50" s="1"/>
  <c r="G81" i="50"/>
  <c r="G104" i="50"/>
  <c r="H104" i="50" s="1"/>
  <c r="G107" i="50"/>
  <c r="G30" i="50"/>
  <c r="H30" i="50" s="1"/>
  <c r="G47" i="50"/>
  <c r="F71" i="50"/>
  <c r="G27" i="50"/>
  <c r="H27" i="50" s="1"/>
  <c r="G27" i="49"/>
  <c r="G33" i="49"/>
  <c r="G39" i="49"/>
  <c r="H39" i="49" s="1"/>
  <c r="E71" i="49"/>
  <c r="E112" i="49" s="1"/>
  <c r="D71" i="49"/>
  <c r="D112" i="49" s="1"/>
  <c r="G30" i="49"/>
  <c r="G36" i="49"/>
  <c r="F71" i="49"/>
  <c r="F112" i="49" s="1"/>
  <c r="G110" i="49"/>
  <c r="D105" i="49"/>
  <c r="G105" i="49" s="1"/>
  <c r="G22" i="49"/>
  <c r="G62" i="49"/>
  <c r="G81" i="49"/>
  <c r="D119" i="55" l="1"/>
  <c r="E119" i="56"/>
  <c r="H119" i="56" s="1"/>
  <c r="H106" i="56"/>
  <c r="H72" i="56"/>
  <c r="H106" i="55"/>
  <c r="E119" i="55"/>
  <c r="H119" i="55" s="1"/>
  <c r="H72" i="55"/>
  <c r="G105" i="52"/>
  <c r="H105" i="52" s="1"/>
  <c r="D112" i="54"/>
  <c r="G71" i="48"/>
  <c r="H71" i="48" s="1"/>
  <c r="D112" i="52"/>
  <c r="G105" i="48"/>
  <c r="H105" i="48" s="1"/>
  <c r="H49" i="55"/>
  <c r="G48" i="53"/>
  <c r="H48" i="53" s="1"/>
  <c r="G48" i="52"/>
  <c r="H48" i="52" s="1"/>
  <c r="G48" i="54"/>
  <c r="H48" i="54" s="1"/>
  <c r="D112" i="51"/>
  <c r="G48" i="51"/>
  <c r="H48" i="51" s="1"/>
  <c r="D18" i="35"/>
  <c r="G48" i="50"/>
  <c r="H48" i="50" s="1"/>
  <c r="G48" i="49"/>
  <c r="G112" i="48"/>
  <c r="H112" i="48" s="1"/>
  <c r="G48" i="48"/>
  <c r="H48" i="48" s="1"/>
  <c r="F11" i="35"/>
  <c r="G11" i="35" s="1"/>
  <c r="E112" i="54"/>
  <c r="G105" i="51"/>
  <c r="G71" i="49"/>
  <c r="H71" i="49" s="1"/>
  <c r="F112" i="54"/>
  <c r="G71" i="54"/>
  <c r="H71" i="54" s="1"/>
  <c r="F112" i="52"/>
  <c r="G71" i="52"/>
  <c r="H71" i="52" s="1"/>
  <c r="F112" i="51"/>
  <c r="G71" i="51"/>
  <c r="D112" i="50"/>
  <c r="G71" i="50"/>
  <c r="H71" i="50" s="1"/>
  <c r="F112" i="50"/>
  <c r="G112" i="49"/>
  <c r="H112" i="49" s="1"/>
  <c r="G112" i="52" l="1"/>
  <c r="H112" i="52" s="1"/>
  <c r="G112" i="54"/>
  <c r="H112" i="54" s="1"/>
  <c r="G112" i="51"/>
  <c r="H112" i="51" s="1"/>
  <c r="E18" i="35"/>
  <c r="C18" i="35"/>
  <c r="G112" i="50"/>
  <c r="H112" i="50" s="1"/>
  <c r="H225" i="40"/>
  <c r="I225" i="40" s="1"/>
  <c r="H223" i="40"/>
  <c r="I223" i="40" s="1"/>
  <c r="H218" i="40"/>
  <c r="I218" i="40" s="1"/>
  <c r="H217" i="40"/>
  <c r="I217" i="40" s="1"/>
  <c r="H216" i="40"/>
  <c r="I216" i="40" s="1"/>
  <c r="H215" i="40"/>
  <c r="I215" i="40" s="1"/>
  <c r="H214" i="40"/>
  <c r="I214" i="40" s="1"/>
  <c r="H212" i="40"/>
  <c r="I212" i="40" s="1"/>
  <c r="H211" i="40"/>
  <c r="I211" i="40" s="1"/>
  <c r="H210" i="40"/>
  <c r="I210" i="40" s="1"/>
  <c r="H209" i="40"/>
  <c r="I209" i="40" s="1"/>
  <c r="H208" i="40"/>
  <c r="I208" i="40" s="1"/>
  <c r="H207" i="40"/>
  <c r="I207" i="40" s="1"/>
  <c r="H206" i="40"/>
  <c r="I206" i="40" s="1"/>
  <c r="H205" i="40"/>
  <c r="I205" i="40" s="1"/>
  <c r="H204" i="40"/>
  <c r="I204" i="40" s="1"/>
  <c r="H203" i="40"/>
  <c r="I203" i="40" s="1"/>
  <c r="H202" i="40"/>
  <c r="I202" i="40" s="1"/>
  <c r="H201" i="40"/>
  <c r="I201" i="40" s="1"/>
  <c r="H200" i="40"/>
  <c r="I200" i="40" s="1"/>
  <c r="H199" i="40"/>
  <c r="I199" i="40" s="1"/>
  <c r="H198" i="40"/>
  <c r="I198" i="40" s="1"/>
  <c r="H196" i="40"/>
  <c r="I196" i="40" s="1"/>
  <c r="H195" i="40"/>
  <c r="I195" i="40" s="1"/>
  <c r="H194" i="40"/>
  <c r="I194" i="40" s="1"/>
  <c r="H193" i="40"/>
  <c r="I193" i="40" s="1"/>
  <c r="H192" i="40"/>
  <c r="I192" i="40" s="1"/>
  <c r="H191" i="40"/>
  <c r="I191" i="40" s="1"/>
  <c r="H190" i="40"/>
  <c r="I190" i="40" s="1"/>
  <c r="H189" i="40"/>
  <c r="I189" i="40" s="1"/>
  <c r="H188" i="40"/>
  <c r="I188" i="40" s="1"/>
  <c r="H187" i="40"/>
  <c r="I187" i="40" s="1"/>
  <c r="H186" i="40"/>
  <c r="I186" i="40" s="1"/>
  <c r="H185" i="40"/>
  <c r="I185" i="40" s="1"/>
  <c r="H184" i="40"/>
  <c r="I184" i="40" s="1"/>
  <c r="G172" i="40"/>
  <c r="F172" i="40"/>
  <c r="E172" i="40"/>
  <c r="H171" i="40"/>
  <c r="I171" i="40" s="1"/>
  <c r="H170" i="40"/>
  <c r="I170" i="40" s="1"/>
  <c r="G169" i="40"/>
  <c r="F169" i="40"/>
  <c r="E169" i="40"/>
  <c r="H168" i="40"/>
  <c r="I168" i="40" s="1"/>
  <c r="H154" i="40"/>
  <c r="I154" i="40" s="1"/>
  <c r="H153" i="40"/>
  <c r="I153" i="40" s="1"/>
  <c r="H151" i="40"/>
  <c r="I151" i="40" s="1"/>
  <c r="H150" i="40"/>
  <c r="I150" i="40" s="1"/>
  <c r="H149" i="40"/>
  <c r="I149" i="40" s="1"/>
  <c r="H148" i="40"/>
  <c r="I148" i="40" s="1"/>
  <c r="H146" i="40"/>
  <c r="I146" i="40" s="1"/>
  <c r="H145" i="40"/>
  <c r="I145" i="40" s="1"/>
  <c r="H144" i="40"/>
  <c r="I144" i="40" s="1"/>
  <c r="G143" i="40"/>
  <c r="F143" i="40"/>
  <c r="F167" i="40" s="1"/>
  <c r="E143" i="40"/>
  <c r="E167" i="40" s="1"/>
  <c r="H142" i="40"/>
  <c r="I142" i="40" s="1"/>
  <c r="H141" i="40"/>
  <c r="I141" i="40" s="1"/>
  <c r="H139" i="40"/>
  <c r="I139" i="40" s="1"/>
  <c r="H138" i="40"/>
  <c r="I138" i="40" s="1"/>
  <c r="G137" i="40"/>
  <c r="F137" i="40"/>
  <c r="E137" i="40"/>
  <c r="H136" i="40"/>
  <c r="I136" i="40" s="1"/>
  <c r="H134" i="40"/>
  <c r="I134" i="40" s="1"/>
  <c r="G132" i="40"/>
  <c r="F132" i="40"/>
  <c r="F133" i="40" s="1"/>
  <c r="H131" i="40"/>
  <c r="I131" i="40" s="1"/>
  <c r="H130" i="40"/>
  <c r="I130" i="40" s="1"/>
  <c r="H129" i="40"/>
  <c r="I129" i="40" s="1"/>
  <c r="H128" i="40"/>
  <c r="I128" i="40" s="1"/>
  <c r="H127" i="40"/>
  <c r="I127" i="40" s="1"/>
  <c r="H126" i="40"/>
  <c r="I126" i="40" s="1"/>
  <c r="H125" i="40"/>
  <c r="I125" i="40" s="1"/>
  <c r="H123" i="40"/>
  <c r="I123" i="40" s="1"/>
  <c r="H122" i="40"/>
  <c r="I122" i="40" s="1"/>
  <c r="H121" i="40"/>
  <c r="I121" i="40" s="1"/>
  <c r="H119" i="40"/>
  <c r="I119" i="40" s="1"/>
  <c r="H118" i="40"/>
  <c r="I118" i="40" s="1"/>
  <c r="H117" i="40"/>
  <c r="I117" i="40" s="1"/>
  <c r="H116" i="40"/>
  <c r="I116" i="40" s="1"/>
  <c r="H115" i="40"/>
  <c r="I115" i="40" s="1"/>
  <c r="H114" i="40"/>
  <c r="I114" i="40" s="1"/>
  <c r="H11" i="40"/>
  <c r="I11" i="40" s="1"/>
  <c r="H111" i="47"/>
  <c r="E111" i="47"/>
  <c r="D111" i="47"/>
  <c r="H109" i="47"/>
  <c r="F108" i="47"/>
  <c r="G108" i="47" s="1"/>
  <c r="E108" i="47"/>
  <c r="D108" i="47"/>
  <c r="G107" i="47"/>
  <c r="F105" i="47"/>
  <c r="E105" i="47"/>
  <c r="E106" i="47" s="1"/>
  <c r="D105" i="47"/>
  <c r="D106" i="47" s="1"/>
  <c r="G104" i="47"/>
  <c r="G103" i="47"/>
  <c r="G102" i="47"/>
  <c r="G101" i="47"/>
  <c r="G100" i="47"/>
  <c r="G99" i="47"/>
  <c r="G98" i="47"/>
  <c r="G97" i="47"/>
  <c r="G96" i="47"/>
  <c r="G95" i="47"/>
  <c r="G94" i="47"/>
  <c r="H93" i="47"/>
  <c r="G91" i="47"/>
  <c r="G90" i="47"/>
  <c r="G89" i="47"/>
  <c r="G88" i="47"/>
  <c r="G87" i="47"/>
  <c r="G86" i="47"/>
  <c r="G85" i="47"/>
  <c r="G84" i="47"/>
  <c r="G83" i="47"/>
  <c r="F82" i="47"/>
  <c r="E82" i="47"/>
  <c r="D82" i="47"/>
  <c r="G81" i="47"/>
  <c r="G80" i="47"/>
  <c r="G79" i="47"/>
  <c r="G78" i="47"/>
  <c r="G77" i="47"/>
  <c r="E76" i="47"/>
  <c r="D76" i="47"/>
  <c r="H75" i="47"/>
  <c r="H73" i="47"/>
  <c r="E71" i="47"/>
  <c r="D71" i="47"/>
  <c r="H70" i="47"/>
  <c r="H68" i="47"/>
  <c r="H67" i="47"/>
  <c r="H66" i="47"/>
  <c r="H65" i="47"/>
  <c r="H64" i="47"/>
  <c r="E63" i="47"/>
  <c r="D63" i="47"/>
  <c r="H62" i="47"/>
  <c r="H61" i="47"/>
  <c r="H60" i="47"/>
  <c r="E59" i="47"/>
  <c r="D59" i="47"/>
  <c r="H58" i="47"/>
  <c r="H57" i="47"/>
  <c r="H56" i="47"/>
  <c r="H54" i="47"/>
  <c r="H53" i="47"/>
  <c r="E45" i="47"/>
  <c r="E49" i="47" s="1"/>
  <c r="D45" i="47"/>
  <c r="D49" i="47" s="1"/>
  <c r="H44" i="47"/>
  <c r="G41" i="47"/>
  <c r="E40" i="47"/>
  <c r="D40" i="47"/>
  <c r="H38" i="47"/>
  <c r="E33" i="47"/>
  <c r="D33" i="47"/>
  <c r="H32" i="47"/>
  <c r="H31" i="47"/>
  <c r="E13" i="47"/>
  <c r="D13" i="47"/>
  <c r="H9" i="47"/>
  <c r="F106" i="47" l="1"/>
  <c r="H33" i="47"/>
  <c r="F180" i="40"/>
  <c r="G105" i="47"/>
  <c r="H105" i="47" s="1"/>
  <c r="F49" i="47"/>
  <c r="E180" i="40"/>
  <c r="G133" i="40"/>
  <c r="H45" i="47"/>
  <c r="H63" i="47"/>
  <c r="H13" i="47"/>
  <c r="H143" i="40"/>
  <c r="I143" i="40" s="1"/>
  <c r="H228" i="40"/>
  <c r="I228" i="40" s="1"/>
  <c r="H40" i="47"/>
  <c r="H76" i="47"/>
  <c r="G82" i="47"/>
  <c r="D19" i="35"/>
  <c r="G106" i="47"/>
  <c r="H106" i="47" s="1"/>
  <c r="H124" i="40"/>
  <c r="I124" i="40" s="1"/>
  <c r="H166" i="40"/>
  <c r="I166" i="40" s="1"/>
  <c r="H169" i="40"/>
  <c r="I169" i="40" s="1"/>
  <c r="D72" i="47"/>
  <c r="D113" i="47" s="1"/>
  <c r="E72" i="47"/>
  <c r="E113" i="47" s="1"/>
  <c r="H71" i="47"/>
  <c r="H59" i="47"/>
  <c r="C19" i="35"/>
  <c r="H137" i="40"/>
  <c r="I137" i="40" s="1"/>
  <c r="G167" i="40"/>
  <c r="H120" i="40"/>
  <c r="I120" i="40" s="1"/>
  <c r="H132" i="40"/>
  <c r="I132" i="40" s="1"/>
  <c r="H172" i="40"/>
  <c r="I172" i="40" s="1"/>
  <c r="G111" i="46"/>
  <c r="H111" i="46" s="1"/>
  <c r="G109" i="46"/>
  <c r="F108" i="46"/>
  <c r="G108" i="46" s="1"/>
  <c r="E108" i="46"/>
  <c r="D108" i="46"/>
  <c r="G107" i="46"/>
  <c r="G105" i="46"/>
  <c r="H105" i="46" s="1"/>
  <c r="G100" i="46"/>
  <c r="G99" i="46"/>
  <c r="G98" i="46"/>
  <c r="G97" i="46"/>
  <c r="G96" i="46"/>
  <c r="G95" i="46"/>
  <c r="G94" i="46"/>
  <c r="G93" i="46"/>
  <c r="G91" i="46"/>
  <c r="G90" i="46"/>
  <c r="G89" i="46"/>
  <c r="G88" i="46"/>
  <c r="G87" i="46"/>
  <c r="G86" i="46"/>
  <c r="G85" i="46"/>
  <c r="G84" i="46"/>
  <c r="G83" i="46"/>
  <c r="F82" i="46"/>
  <c r="E82" i="46"/>
  <c r="E106" i="46" s="1"/>
  <c r="D82" i="46"/>
  <c r="F76" i="46"/>
  <c r="E76" i="46"/>
  <c r="D76" i="46"/>
  <c r="G70" i="46"/>
  <c r="H70" i="46" s="1"/>
  <c r="G68" i="46"/>
  <c r="H68" i="46" s="1"/>
  <c r="G67" i="46"/>
  <c r="H67" i="46" s="1"/>
  <c r="G66" i="46"/>
  <c r="H66" i="46" s="1"/>
  <c r="G65" i="46"/>
  <c r="H65" i="46" s="1"/>
  <c r="G64" i="46"/>
  <c r="H64" i="46" s="1"/>
  <c r="G63" i="46"/>
  <c r="H63" i="46" s="1"/>
  <c r="G60" i="46"/>
  <c r="H60" i="46" s="1"/>
  <c r="G58" i="46"/>
  <c r="H58" i="46" s="1"/>
  <c r="G57" i="46"/>
  <c r="H57" i="46" s="1"/>
  <c r="G56" i="46"/>
  <c r="H56" i="46" s="1"/>
  <c r="G54" i="46"/>
  <c r="H54" i="46" s="1"/>
  <c r="G53" i="46"/>
  <c r="H53" i="46" s="1"/>
  <c r="G45" i="46"/>
  <c r="G39" i="46"/>
  <c r="H39" i="46" s="1"/>
  <c r="G38" i="46"/>
  <c r="H38" i="46" s="1"/>
  <c r="G29" i="46"/>
  <c r="G28" i="46"/>
  <c r="E111" i="45"/>
  <c r="D111" i="45"/>
  <c r="H109" i="45"/>
  <c r="D108" i="45"/>
  <c r="H107" i="45"/>
  <c r="E105" i="45"/>
  <c r="D105" i="45"/>
  <c r="H100" i="45"/>
  <c r="H99" i="45"/>
  <c r="H98" i="45"/>
  <c r="H97" i="45"/>
  <c r="H96" i="45"/>
  <c r="H95" i="45"/>
  <c r="H94" i="45"/>
  <c r="H93" i="45"/>
  <c r="E82" i="45"/>
  <c r="D82" i="45"/>
  <c r="H81" i="45"/>
  <c r="H80" i="45"/>
  <c r="H78" i="45"/>
  <c r="H77" i="45"/>
  <c r="D76" i="45"/>
  <c r="H75" i="45"/>
  <c r="H73" i="45"/>
  <c r="E71" i="45"/>
  <c r="D71" i="45"/>
  <c r="H70" i="45"/>
  <c r="H68" i="45"/>
  <c r="H66" i="45"/>
  <c r="H65" i="45"/>
  <c r="H64" i="45"/>
  <c r="E63" i="45"/>
  <c r="D63" i="45"/>
  <c r="H62" i="45"/>
  <c r="H61" i="45"/>
  <c r="H60" i="45"/>
  <c r="E59" i="45"/>
  <c r="D59" i="45"/>
  <c r="H57" i="45"/>
  <c r="H56" i="45"/>
  <c r="H55" i="45"/>
  <c r="H54" i="45"/>
  <c r="H53" i="45"/>
  <c r="E48" i="45"/>
  <c r="D48" i="45"/>
  <c r="E45" i="45"/>
  <c r="D45" i="45"/>
  <c r="E40" i="45"/>
  <c r="D40" i="45"/>
  <c r="F45" i="40"/>
  <c r="D37" i="45"/>
  <c r="E33" i="45"/>
  <c r="D33" i="45"/>
  <c r="E30" i="45"/>
  <c r="D30" i="45"/>
  <c r="E27" i="45"/>
  <c r="D27" i="45"/>
  <c r="E22" i="45"/>
  <c r="D22" i="45"/>
  <c r="H18" i="45"/>
  <c r="E13" i="45"/>
  <c r="H12" i="45"/>
  <c r="H11" i="45"/>
  <c r="H10" i="45"/>
  <c r="H9" i="45"/>
  <c r="F111" i="44"/>
  <c r="E111" i="44"/>
  <c r="D111" i="44"/>
  <c r="G110" i="44"/>
  <c r="H110" i="44" s="1"/>
  <c r="G109" i="44"/>
  <c r="H109" i="44" s="1"/>
  <c r="F108" i="44"/>
  <c r="E108" i="44"/>
  <c r="D108" i="44"/>
  <c r="G107" i="44"/>
  <c r="H107" i="44" s="1"/>
  <c r="F105" i="44"/>
  <c r="F106" i="44" s="1"/>
  <c r="E105" i="44"/>
  <c r="E106" i="44" s="1"/>
  <c r="D105" i="44"/>
  <c r="G96" i="44"/>
  <c r="H96" i="44" s="1"/>
  <c r="G90" i="44"/>
  <c r="H90" i="44" s="1"/>
  <c r="G89" i="44"/>
  <c r="H89" i="44" s="1"/>
  <c r="G88" i="44"/>
  <c r="H88" i="44" s="1"/>
  <c r="G87" i="44"/>
  <c r="H87" i="44" s="1"/>
  <c r="G85" i="44"/>
  <c r="H85" i="44" s="1"/>
  <c r="G84" i="44"/>
  <c r="H84" i="44" s="1"/>
  <c r="G83" i="44"/>
  <c r="H83" i="44" s="1"/>
  <c r="F76" i="44"/>
  <c r="E76" i="44"/>
  <c r="D76" i="44"/>
  <c r="G75" i="44"/>
  <c r="H75" i="44" s="1"/>
  <c r="G73" i="44"/>
  <c r="H73" i="44" s="1"/>
  <c r="F71" i="44"/>
  <c r="E71" i="44"/>
  <c r="D71" i="44"/>
  <c r="G70" i="44"/>
  <c r="H70" i="44" s="1"/>
  <c r="G69" i="44"/>
  <c r="H69" i="44" s="1"/>
  <c r="G68" i="44"/>
  <c r="H68" i="44" s="1"/>
  <c r="G67" i="44"/>
  <c r="H67" i="44" s="1"/>
  <c r="G66" i="44"/>
  <c r="H66" i="44" s="1"/>
  <c r="G65" i="44"/>
  <c r="H65" i="44" s="1"/>
  <c r="G64" i="44"/>
  <c r="H64" i="44" s="1"/>
  <c r="F63" i="44"/>
  <c r="E63" i="44"/>
  <c r="D63" i="44"/>
  <c r="G62" i="44"/>
  <c r="H62" i="44" s="1"/>
  <c r="G61" i="44"/>
  <c r="H61" i="44" s="1"/>
  <c r="G60" i="44"/>
  <c r="H60" i="44" s="1"/>
  <c r="F59" i="44"/>
  <c r="E59" i="44"/>
  <c r="D59" i="44"/>
  <c r="G58" i="44"/>
  <c r="H58" i="44" s="1"/>
  <c r="G57" i="44"/>
  <c r="H57" i="44" s="1"/>
  <c r="G56" i="44"/>
  <c r="H56" i="44" s="1"/>
  <c r="G54" i="44"/>
  <c r="H54" i="44" s="1"/>
  <c r="G53" i="44"/>
  <c r="H53" i="44" s="1"/>
  <c r="F48" i="44"/>
  <c r="G48" i="44" s="1"/>
  <c r="E48" i="44"/>
  <c r="D48" i="44"/>
  <c r="G47" i="44"/>
  <c r="G46" i="44"/>
  <c r="F45" i="44"/>
  <c r="E45" i="44"/>
  <c r="D45" i="44"/>
  <c r="G44" i="44"/>
  <c r="H44" i="44" s="1"/>
  <c r="G43" i="44"/>
  <c r="G41" i="44"/>
  <c r="H41" i="44" s="1"/>
  <c r="F40" i="44"/>
  <c r="E40" i="44"/>
  <c r="D40" i="44"/>
  <c r="G39" i="44"/>
  <c r="H39" i="44" s="1"/>
  <c r="G38" i="44"/>
  <c r="H38" i="44" s="1"/>
  <c r="F37" i="44"/>
  <c r="E37" i="44"/>
  <c r="D37" i="44"/>
  <c r="G36" i="44"/>
  <c r="G34" i="44"/>
  <c r="H34" i="44" s="1"/>
  <c r="F30" i="44"/>
  <c r="E30" i="44"/>
  <c r="D30" i="44"/>
  <c r="F27" i="44"/>
  <c r="E27" i="44"/>
  <c r="D27" i="44"/>
  <c r="F22" i="44"/>
  <c r="G29" i="40" s="1"/>
  <c r="G30" i="40" s="1"/>
  <c r="E22" i="44"/>
  <c r="D22" i="44"/>
  <c r="F105" i="10"/>
  <c r="D105" i="10"/>
  <c r="F82" i="10"/>
  <c r="D82" i="10"/>
  <c r="G31" i="10"/>
  <c r="G32" i="10"/>
  <c r="F33" i="10"/>
  <c r="D33" i="10"/>
  <c r="E13" i="10"/>
  <c r="F13" i="10"/>
  <c r="D13" i="10"/>
  <c r="E27" i="40" s="1"/>
  <c r="G50" i="42"/>
  <c r="H50" i="42" s="1"/>
  <c r="G49" i="42"/>
  <c r="H49" i="42" s="1"/>
  <c r="G48" i="42"/>
  <c r="G47" i="42"/>
  <c r="G46" i="42"/>
  <c r="H46" i="42" s="1"/>
  <c r="G45" i="42"/>
  <c r="H45" i="42" s="1"/>
  <c r="G44" i="42"/>
  <c r="H44" i="42" s="1"/>
  <c r="G43" i="42"/>
  <c r="H43" i="42" s="1"/>
  <c r="G42" i="42"/>
  <c r="G41" i="42"/>
  <c r="H41" i="42" s="1"/>
  <c r="G40" i="42"/>
  <c r="H40" i="42" s="1"/>
  <c r="G37" i="42"/>
  <c r="H37" i="42" s="1"/>
  <c r="G35" i="42"/>
  <c r="H35" i="42" s="1"/>
  <c r="G34" i="42"/>
  <c r="H34" i="42" s="1"/>
  <c r="G32" i="42"/>
  <c r="H32" i="42" s="1"/>
  <c r="G31" i="42"/>
  <c r="H31" i="42" s="1"/>
  <c r="G30" i="42"/>
  <c r="H30" i="42" s="1"/>
  <c r="G29" i="42"/>
  <c r="H29" i="42" s="1"/>
  <c r="G28" i="42"/>
  <c r="H28" i="42" s="1"/>
  <c r="G27" i="42"/>
  <c r="H27" i="42" s="1"/>
  <c r="H21" i="42"/>
  <c r="H20" i="42"/>
  <c r="G19" i="42"/>
  <c r="H19" i="42" s="1"/>
  <c r="H18" i="42"/>
  <c r="H17" i="42"/>
  <c r="G14" i="42"/>
  <c r="H14" i="42" s="1"/>
  <c r="G12" i="42"/>
  <c r="G11" i="42"/>
  <c r="G10" i="42"/>
  <c r="G9" i="42"/>
  <c r="G8" i="42"/>
  <c r="G49" i="41"/>
  <c r="G47" i="41"/>
  <c r="H47" i="41" s="1"/>
  <c r="G46" i="41"/>
  <c r="H46" i="41" s="1"/>
  <c r="G45" i="41"/>
  <c r="H45" i="41" s="1"/>
  <c r="G44" i="41"/>
  <c r="H44" i="41" s="1"/>
  <c r="G42" i="41"/>
  <c r="H42" i="41" s="1"/>
  <c r="G41" i="41"/>
  <c r="H41" i="41" s="1"/>
  <c r="G40" i="41"/>
  <c r="H40" i="41" s="1"/>
  <c r="G39" i="41"/>
  <c r="H39" i="41" s="1"/>
  <c r="G38" i="41"/>
  <c r="H38" i="41" s="1"/>
  <c r="G37" i="41"/>
  <c r="H37" i="41" s="1"/>
  <c r="G34" i="41"/>
  <c r="H34" i="41" s="1"/>
  <c r="G33" i="41"/>
  <c r="H33" i="41" s="1"/>
  <c r="G32" i="41"/>
  <c r="E23" i="41"/>
  <c r="D9" i="35" s="1"/>
  <c r="G21" i="41"/>
  <c r="G20" i="41"/>
  <c r="H20" i="41" s="1"/>
  <c r="G18" i="41"/>
  <c r="G17" i="41"/>
  <c r="H17" i="41" s="1"/>
  <c r="G77" i="10"/>
  <c r="G78" i="10"/>
  <c r="G79" i="10"/>
  <c r="G80" i="10"/>
  <c r="G81" i="10"/>
  <c r="G86" i="10"/>
  <c r="G87" i="10"/>
  <c r="G88" i="10"/>
  <c r="G89" i="10"/>
  <c r="G90" i="10"/>
  <c r="G91" i="10"/>
  <c r="G92" i="10"/>
  <c r="G104" i="10"/>
  <c r="G9" i="10"/>
  <c r="G10" i="10"/>
  <c r="G11" i="10"/>
  <c r="G12" i="10"/>
  <c r="G8" i="10"/>
  <c r="H109" i="40"/>
  <c r="I109" i="40" s="1"/>
  <c r="H108" i="40"/>
  <c r="I108" i="40" s="1"/>
  <c r="H105" i="40"/>
  <c r="I105" i="40" s="1"/>
  <c r="H104" i="40"/>
  <c r="I104" i="40" s="1"/>
  <c r="H103" i="40"/>
  <c r="I103" i="40" s="1"/>
  <c r="H102" i="40"/>
  <c r="I102" i="40" s="1"/>
  <c r="H101" i="40"/>
  <c r="I101" i="40" s="1"/>
  <c r="H100" i="40"/>
  <c r="I100" i="40" s="1"/>
  <c r="H99" i="40"/>
  <c r="I99" i="40" s="1"/>
  <c r="H98" i="40"/>
  <c r="I98" i="40" s="1"/>
  <c r="H97" i="40"/>
  <c r="I97" i="40" s="1"/>
  <c r="H96" i="40"/>
  <c r="I96" i="40" s="1"/>
  <c r="H95" i="40"/>
  <c r="I95" i="40" s="1"/>
  <c r="H94" i="40"/>
  <c r="I94" i="40" s="1"/>
  <c r="H93" i="40"/>
  <c r="I93" i="40" s="1"/>
  <c r="H92" i="40"/>
  <c r="I92" i="40" s="1"/>
  <c r="H91" i="40"/>
  <c r="I91" i="40" s="1"/>
  <c r="H90" i="40"/>
  <c r="I90" i="40" s="1"/>
  <c r="H89" i="40"/>
  <c r="I89" i="40" s="1"/>
  <c r="H88" i="40"/>
  <c r="I88" i="40" s="1"/>
  <c r="H87" i="40"/>
  <c r="I87" i="40" s="1"/>
  <c r="H86" i="40"/>
  <c r="I86" i="40" s="1"/>
  <c r="I64" i="40"/>
  <c r="H61" i="40"/>
  <c r="I61" i="40" s="1"/>
  <c r="I56" i="40"/>
  <c r="I52" i="40"/>
  <c r="H49" i="40"/>
  <c r="H48" i="40"/>
  <c r="I48" i="40" s="1"/>
  <c r="H47" i="40"/>
  <c r="I47" i="40" s="1"/>
  <c r="H46" i="40"/>
  <c r="I46" i="40" s="1"/>
  <c r="H42" i="40"/>
  <c r="I42" i="40" s="1"/>
  <c r="I38" i="40"/>
  <c r="H37" i="40"/>
  <c r="I37" i="40" s="1"/>
  <c r="H36" i="40"/>
  <c r="I36" i="40" s="1"/>
  <c r="H35" i="40"/>
  <c r="I35" i="40" s="1"/>
  <c r="H34" i="40"/>
  <c r="I34" i="40" s="1"/>
  <c r="H33" i="40"/>
  <c r="I33" i="40" s="1"/>
  <c r="H32" i="40"/>
  <c r="I32" i="40" s="1"/>
  <c r="H31" i="40"/>
  <c r="I31" i="40" s="1"/>
  <c r="H22" i="40"/>
  <c r="H21" i="40"/>
  <c r="I21" i="40" s="1"/>
  <c r="H20" i="40"/>
  <c r="I20" i="40" s="1"/>
  <c r="H19" i="40"/>
  <c r="I19" i="40" s="1"/>
  <c r="H18" i="40"/>
  <c r="I18" i="40" s="1"/>
  <c r="H17" i="40"/>
  <c r="I17" i="40" s="1"/>
  <c r="H14" i="40"/>
  <c r="I14" i="40" s="1"/>
  <c r="H13" i="40"/>
  <c r="I13" i="40" s="1"/>
  <c r="H10" i="40"/>
  <c r="I10" i="40" s="1"/>
  <c r="H8" i="40"/>
  <c r="I22" i="40" l="1"/>
  <c r="I23" i="40"/>
  <c r="G13" i="10"/>
  <c r="G27" i="40"/>
  <c r="G28" i="40" s="1"/>
  <c r="G57" i="40" s="1"/>
  <c r="F27" i="40"/>
  <c r="F28" i="40" s="1"/>
  <c r="G82" i="10"/>
  <c r="E29" i="40"/>
  <c r="E30" i="40" s="1"/>
  <c r="F29" i="40"/>
  <c r="F30" i="40" s="1"/>
  <c r="H27" i="45"/>
  <c r="H111" i="45"/>
  <c r="E106" i="45"/>
  <c r="H82" i="45"/>
  <c r="H76" i="45"/>
  <c r="H71" i="45"/>
  <c r="D72" i="45"/>
  <c r="H48" i="45"/>
  <c r="H45" i="45"/>
  <c r="H40" i="45"/>
  <c r="H37" i="45"/>
  <c r="H33" i="45"/>
  <c r="H30" i="45"/>
  <c r="H22" i="45"/>
  <c r="G180" i="40"/>
  <c r="G50" i="41"/>
  <c r="H50" i="41" s="1"/>
  <c r="H49" i="41"/>
  <c r="H21" i="41"/>
  <c r="G22" i="41"/>
  <c r="H22" i="41" s="1"/>
  <c r="H18" i="41"/>
  <c r="G19" i="41"/>
  <c r="H19" i="41" s="1"/>
  <c r="H13" i="41"/>
  <c r="G14" i="41"/>
  <c r="H14" i="41" s="1"/>
  <c r="G76" i="46"/>
  <c r="H76" i="46" s="1"/>
  <c r="G108" i="44"/>
  <c r="H108" i="44" s="1"/>
  <c r="E28" i="40"/>
  <c r="G82" i="46"/>
  <c r="H82" i="46" s="1"/>
  <c r="F106" i="46"/>
  <c r="G105" i="10"/>
  <c r="H105" i="10" s="1"/>
  <c r="G27" i="44"/>
  <c r="H27" i="44" s="1"/>
  <c r="E49" i="44"/>
  <c r="F49" i="44"/>
  <c r="D49" i="45"/>
  <c r="E49" i="45"/>
  <c r="G111" i="44"/>
  <c r="H111" i="44" s="1"/>
  <c r="G45" i="44"/>
  <c r="H45" i="44" s="1"/>
  <c r="D49" i="44"/>
  <c r="G22" i="44"/>
  <c r="H22" i="44" s="1"/>
  <c r="D106" i="45"/>
  <c r="H63" i="45"/>
  <c r="I44" i="40"/>
  <c r="E45" i="40"/>
  <c r="G59" i="44"/>
  <c r="H59" i="44" s="1"/>
  <c r="G76" i="44"/>
  <c r="H76" i="44" s="1"/>
  <c r="G37" i="44"/>
  <c r="H37" i="44" s="1"/>
  <c r="H167" i="40"/>
  <c r="I167" i="40" s="1"/>
  <c r="I8" i="40"/>
  <c r="H9" i="40"/>
  <c r="I9" i="40" s="1"/>
  <c r="G51" i="42"/>
  <c r="H51" i="42" s="1"/>
  <c r="G23" i="42"/>
  <c r="G23" i="41"/>
  <c r="G51" i="41"/>
  <c r="H51" i="41" s="1"/>
  <c r="G48" i="41"/>
  <c r="H48" i="41" s="1"/>
  <c r="G30" i="46"/>
  <c r="G59" i="46"/>
  <c r="H59" i="46" s="1"/>
  <c r="G71" i="46"/>
  <c r="H71" i="46" s="1"/>
  <c r="D106" i="46"/>
  <c r="G40" i="46"/>
  <c r="H40" i="46" s="1"/>
  <c r="H105" i="45"/>
  <c r="E72" i="45"/>
  <c r="E119" i="45" s="1"/>
  <c r="H59" i="45"/>
  <c r="H13" i="45"/>
  <c r="H108" i="45"/>
  <c r="G49" i="47"/>
  <c r="H49" i="47" s="1"/>
  <c r="G40" i="44"/>
  <c r="H40" i="44" s="1"/>
  <c r="G105" i="44"/>
  <c r="H105" i="44" s="1"/>
  <c r="G30" i="44"/>
  <c r="H30" i="44" s="1"/>
  <c r="G63" i="44"/>
  <c r="H63" i="44" s="1"/>
  <c r="G71" i="44"/>
  <c r="H71" i="44" s="1"/>
  <c r="E72" i="44"/>
  <c r="E119" i="44" s="1"/>
  <c r="G33" i="10"/>
  <c r="D106" i="10"/>
  <c r="D119" i="10" s="1"/>
  <c r="C10" i="35" s="1"/>
  <c r="G10" i="35" s="1"/>
  <c r="F106" i="10"/>
  <c r="F119" i="10" s="1"/>
  <c r="H133" i="40"/>
  <c r="F113" i="47"/>
  <c r="G113" i="47" s="1"/>
  <c r="H113" i="47" s="1"/>
  <c r="H72" i="47"/>
  <c r="G27" i="46"/>
  <c r="H27" i="46" s="1"/>
  <c r="D72" i="44"/>
  <c r="F72" i="44"/>
  <c r="F119" i="44" s="1"/>
  <c r="D106" i="44"/>
  <c r="G106" i="44" s="1"/>
  <c r="H106" i="44" s="1"/>
  <c r="H110" i="40"/>
  <c r="I110" i="40" s="1"/>
  <c r="G119" i="10" l="1"/>
  <c r="H119" i="10" s="1"/>
  <c r="E10" i="35"/>
  <c r="E57" i="40"/>
  <c r="F57" i="40"/>
  <c r="D21" i="35"/>
  <c r="H45" i="40"/>
  <c r="I45" i="40" s="1"/>
  <c r="H23" i="41"/>
  <c r="G7" i="35" s="1"/>
  <c r="F7" i="35"/>
  <c r="D119" i="45"/>
  <c r="H119" i="45" s="1"/>
  <c r="H106" i="45"/>
  <c r="H72" i="45"/>
  <c r="C21" i="35"/>
  <c r="E21" i="35" s="1"/>
  <c r="H49" i="45"/>
  <c r="I133" i="40"/>
  <c r="H180" i="40"/>
  <c r="I180" i="40" s="1"/>
  <c r="H23" i="42"/>
  <c r="G8" i="35" s="1"/>
  <c r="F8" i="35"/>
  <c r="G119" i="46"/>
  <c r="H119" i="46" s="1"/>
  <c r="G49" i="46"/>
  <c r="H49" i="46" s="1"/>
  <c r="G106" i="10"/>
  <c r="H106" i="10" s="1"/>
  <c r="H29" i="40"/>
  <c r="I29" i="40" s="1"/>
  <c r="H30" i="40"/>
  <c r="I30" i="40" s="1"/>
  <c r="D119" i="44"/>
  <c r="G49" i="44"/>
  <c r="H49" i="44" s="1"/>
  <c r="H27" i="40"/>
  <c r="I27" i="40" s="1"/>
  <c r="H28" i="40"/>
  <c r="I28" i="40" s="1"/>
  <c r="G106" i="46"/>
  <c r="H106" i="46" s="1"/>
  <c r="G72" i="46"/>
  <c r="H72" i="46" s="1"/>
  <c r="G72" i="44"/>
  <c r="H72" i="44" s="1"/>
  <c r="C23" i="35" l="1"/>
  <c r="F21" i="35"/>
  <c r="G21" i="35" s="1"/>
  <c r="H82" i="40"/>
  <c r="H57" i="40"/>
  <c r="I57" i="40" s="1"/>
  <c r="G119" i="44"/>
  <c r="H119" i="44" s="1"/>
  <c r="F19" i="35"/>
  <c r="G19" i="35" s="1"/>
  <c r="I82" i="40" l="1"/>
  <c r="D24" i="35"/>
  <c r="G41" i="37"/>
  <c r="H41" i="37" s="1"/>
  <c r="G49" i="37"/>
  <c r="H49" i="37" s="1"/>
  <c r="G53" i="37"/>
  <c r="H53" i="37" s="1"/>
  <c r="G54" i="37"/>
  <c r="H54" i="37" s="1"/>
  <c r="G60" i="37"/>
  <c r="H60" i="37" s="1"/>
  <c r="G63" i="37"/>
  <c r="H63" i="37" s="1"/>
  <c r="G66" i="37"/>
  <c r="H66" i="37" s="1"/>
  <c r="G69" i="37"/>
  <c r="H69" i="37" s="1"/>
  <c r="G76" i="37"/>
  <c r="H76" i="37" s="1"/>
  <c r="G10" i="37"/>
  <c r="H10" i="37" s="1"/>
  <c r="G11" i="37"/>
  <c r="H11" i="37" s="1"/>
  <c r="G12" i="37"/>
  <c r="H12" i="37" s="1"/>
  <c r="G13" i="37"/>
  <c r="H13" i="37" s="1"/>
  <c r="G14" i="37"/>
  <c r="H14" i="37" s="1"/>
  <c r="G15" i="37"/>
  <c r="H15" i="37" s="1"/>
  <c r="G16" i="37"/>
  <c r="H16" i="37" s="1"/>
  <c r="G18" i="37"/>
  <c r="H18" i="37" s="1"/>
  <c r="G19" i="37"/>
  <c r="H19" i="37" s="1"/>
  <c r="G20" i="37"/>
  <c r="H20" i="37" s="1"/>
  <c r="G21" i="37"/>
  <c r="H21" i="37" s="1"/>
  <c r="G22" i="37"/>
  <c r="H22" i="37" s="1"/>
  <c r="G23" i="37"/>
  <c r="H23" i="37" s="1"/>
  <c r="G25" i="37"/>
  <c r="H25" i="37" s="1"/>
  <c r="G26" i="37"/>
  <c r="H26" i="37" s="1"/>
  <c r="G27" i="37"/>
  <c r="H27" i="37" s="1"/>
  <c r="G28" i="37"/>
  <c r="H28" i="37" s="1"/>
  <c r="G30" i="37"/>
  <c r="H30" i="37" s="1"/>
  <c r="G8" i="37"/>
  <c r="H8" i="37" s="1"/>
  <c r="H28" i="17"/>
  <c r="H29" i="17"/>
  <c r="H33" i="17"/>
  <c r="H36" i="17"/>
  <c r="H37" i="17"/>
  <c r="H38" i="17"/>
  <c r="H39" i="17"/>
  <c r="H43" i="17"/>
  <c r="G79" i="37" l="1"/>
  <c r="H79" i="37" s="1"/>
  <c r="G31" i="37"/>
  <c r="H31" i="37" s="1"/>
  <c r="H49" i="17"/>
  <c r="H46" i="17"/>
  <c r="H45" i="17"/>
  <c r="H42" i="17"/>
  <c r="H44" i="17"/>
  <c r="H27" i="17"/>
  <c r="H34" i="17"/>
  <c r="H32" i="17"/>
  <c r="H35" i="17"/>
  <c r="H40" i="17"/>
  <c r="H50" i="17" l="1"/>
  <c r="H31" i="17"/>
  <c r="H41" i="17"/>
  <c r="F18" i="35"/>
  <c r="G18" i="35" s="1"/>
  <c r="E9" i="35"/>
  <c r="E24" i="35" s="1"/>
  <c r="C9" i="35"/>
  <c r="F6" i="35"/>
  <c r="G6" i="35" s="1"/>
  <c r="G51" i="17" l="1"/>
  <c r="C24" i="35"/>
  <c r="F23" i="35"/>
  <c r="H23" i="17"/>
  <c r="G9" i="35"/>
  <c r="G23" i="35" l="1"/>
  <c r="F24" i="35"/>
  <c r="G24" i="35" s="1"/>
  <c r="H51" i="17"/>
</calcChain>
</file>

<file path=xl/comments1.xml><?xml version="1.0" encoding="utf-8"?>
<comments xmlns="http://schemas.openxmlformats.org/spreadsheetml/2006/main">
  <authors>
    <author>USER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1.</t>
        </r>
        <r>
          <rPr>
            <sz val="9"/>
            <color indexed="81"/>
            <rFont val="돋움"/>
            <family val="3"/>
            <charset val="129"/>
          </rPr>
          <t>기본재산에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예금이자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약</t>
        </r>
        <r>
          <rPr>
            <sz val="9"/>
            <color indexed="81"/>
            <rFont val="Tahoma"/>
            <family val="2"/>
          </rPr>
          <t>1,000</t>
        </r>
        <r>
          <rPr>
            <sz val="9"/>
            <color indexed="81"/>
            <rFont val="돋움"/>
            <family val="3"/>
            <charset val="129"/>
          </rPr>
          <t>만원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가</t>
        </r>
        <r>
          <rPr>
            <sz val="9"/>
            <color indexed="81"/>
            <rFont val="Tahoma"/>
            <family val="2"/>
          </rPr>
          <t xml:space="preserve"> 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29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있음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돋움"/>
            <family val="3"/>
            <charset val="129"/>
          </rPr>
          <t>부산</t>
        </r>
        <r>
          <rPr>
            <sz val="9"/>
            <color indexed="81"/>
            <rFont val="Tahoma"/>
            <family val="2"/>
          </rPr>
          <t>Y</t>
        </r>
        <r>
          <rPr>
            <sz val="9"/>
            <color indexed="81"/>
            <rFont val="돋움"/>
            <family val="3"/>
            <charset val="129"/>
          </rPr>
          <t>에서</t>
        </r>
        <r>
          <rPr>
            <sz val="9"/>
            <color indexed="81"/>
            <rFont val="Tahoma"/>
            <family val="2"/>
          </rPr>
          <t xml:space="preserve"> 12</t>
        </r>
        <r>
          <rPr>
            <sz val="9"/>
            <color indexed="81"/>
            <rFont val="돋움"/>
            <family val="3"/>
            <charset val="129"/>
          </rPr>
          <t>월까지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인건비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약</t>
        </r>
        <r>
          <rPr>
            <sz val="9"/>
            <color indexed="81"/>
            <rFont val="Tahoma"/>
            <family val="2"/>
          </rPr>
          <t>3,100</t>
        </r>
        <r>
          <rPr>
            <sz val="9"/>
            <color indexed="81"/>
            <rFont val="돋움"/>
            <family val="3"/>
            <charset val="129"/>
          </rPr>
          <t>만원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전액을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후원할수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상황
</t>
        </r>
        <r>
          <rPr>
            <sz val="9"/>
            <color indexed="81"/>
            <rFont val="Tahoma"/>
            <family val="2"/>
          </rPr>
          <t>3.2024</t>
        </r>
        <r>
          <rPr>
            <sz val="9"/>
            <color indexed="81"/>
            <rFont val="돋움"/>
            <family val="3"/>
            <charset val="129"/>
          </rPr>
          <t>년은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-8</t>
        </r>
        <r>
          <rPr>
            <sz val="9"/>
            <color indexed="81"/>
            <rFont val="돋움"/>
            <family val="3"/>
            <charset val="129"/>
          </rPr>
          <t>월까지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부산</t>
        </r>
        <r>
          <rPr>
            <sz val="9"/>
            <color indexed="81"/>
            <rFont val="Tahoma"/>
            <family val="2"/>
          </rPr>
          <t>Y</t>
        </r>
        <r>
          <rPr>
            <sz val="9"/>
            <color indexed="81"/>
            <rFont val="돋움"/>
            <family val="3"/>
            <charset val="129"/>
          </rPr>
          <t>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인건비를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후원하고</t>
        </r>
        <r>
          <rPr>
            <sz val="9"/>
            <color indexed="81"/>
            <rFont val="Tahoma"/>
            <family val="2"/>
          </rPr>
          <t>, 9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-12</t>
        </r>
        <r>
          <rPr>
            <sz val="9"/>
            <color indexed="81"/>
            <rFont val="돋움"/>
            <family val="3"/>
            <charset val="129"/>
          </rPr>
          <t>월까지는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먼저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부산</t>
        </r>
        <r>
          <rPr>
            <sz val="9"/>
            <color indexed="81"/>
            <rFont val="Tahoma"/>
            <family val="2"/>
          </rPr>
          <t>Y</t>
        </r>
        <r>
          <rPr>
            <sz val="9"/>
            <color indexed="81"/>
            <rFont val="돋움"/>
            <family val="3"/>
            <charset val="129"/>
          </rPr>
          <t>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복지사업단으로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빌려주고</t>
        </r>
        <r>
          <rPr>
            <sz val="9"/>
            <color indexed="81"/>
            <rFont val="Tahoma"/>
            <family val="2"/>
          </rPr>
          <t xml:space="preserve"> 12</t>
        </r>
        <r>
          <rPr>
            <sz val="9"/>
            <color indexed="81"/>
            <rFont val="돋움"/>
            <family val="3"/>
            <charset val="129"/>
          </rPr>
          <t>월에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예금이자가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입금이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복지사업단에서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부산</t>
        </r>
        <r>
          <rPr>
            <sz val="9"/>
            <color indexed="81"/>
            <rFont val="Tahoma"/>
            <family val="2"/>
          </rPr>
          <t>Y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상환하는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방식을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있음
</t>
        </r>
        <r>
          <rPr>
            <sz val="9"/>
            <color indexed="81"/>
            <rFont val="Tahoma"/>
            <family val="2"/>
          </rPr>
          <t>4.</t>
        </r>
        <r>
          <rPr>
            <sz val="9"/>
            <color indexed="81"/>
            <rFont val="돋움"/>
            <family val="3"/>
            <charset val="129"/>
          </rPr>
          <t>차입금계정을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사용하게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본부사무국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엑셀총괄표에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맞지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않을듯하여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기타잡수입에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함
</t>
        </r>
        <r>
          <rPr>
            <sz val="9"/>
            <color indexed="81"/>
            <rFont val="Tahoma"/>
            <family val="2"/>
          </rPr>
          <t>5.</t>
        </r>
        <r>
          <rPr>
            <sz val="9"/>
            <color indexed="81"/>
            <rFont val="돋움"/>
            <family val="3"/>
            <charset val="129"/>
          </rPr>
          <t>부산지부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사무국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회계처리는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차입금으로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수입결의서를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상환시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수입결의서에</t>
        </r>
        <r>
          <rPr>
            <sz val="9"/>
            <color indexed="81"/>
            <rFont val="Tahoma"/>
            <family val="2"/>
          </rPr>
          <t xml:space="preserve"> (-)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표시해서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차입금을</t>
        </r>
        <r>
          <rPr>
            <sz val="9"/>
            <color indexed="81"/>
            <rFont val="Tahoma"/>
            <family val="2"/>
          </rPr>
          <t xml:space="preserve"> 0</t>
        </r>
        <r>
          <rPr>
            <sz val="9"/>
            <color indexed="81"/>
            <rFont val="돋움"/>
            <family val="3"/>
            <charset val="129"/>
          </rPr>
          <t>원으로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함</t>
        </r>
      </text>
    </comment>
  </commentList>
</comments>
</file>

<file path=xl/sharedStrings.xml><?xml version="1.0" encoding="utf-8"?>
<sst xmlns="http://schemas.openxmlformats.org/spreadsheetml/2006/main" count="3232" uniqueCount="745">
  <si>
    <t>관</t>
  </si>
  <si>
    <t>항</t>
  </si>
  <si>
    <t>목</t>
  </si>
  <si>
    <t>사업수입</t>
    <phoneticPr fontId="2" type="noConversion"/>
  </si>
  <si>
    <t>전입금</t>
    <phoneticPr fontId="2" type="noConversion"/>
  </si>
  <si>
    <t>잡지출</t>
    <phoneticPr fontId="2" type="noConversion"/>
  </si>
  <si>
    <t>지정후원금</t>
  </si>
  <si>
    <t>비지정후원금</t>
  </si>
  <si>
    <t>잡지출</t>
  </si>
  <si>
    <t>전년도이월금</t>
  </si>
  <si>
    <t>기타잡수입</t>
  </si>
  <si>
    <t>자산취득비</t>
  </si>
  <si>
    <t>합계</t>
  </si>
  <si>
    <t>합계</t>
    <phoneticPr fontId="2" type="noConversion"/>
  </si>
  <si>
    <t>과  목</t>
  </si>
  <si>
    <t>목적사업비준비금</t>
  </si>
  <si>
    <t>총계</t>
  </si>
  <si>
    <t>급여</t>
  </si>
  <si>
    <t>기타후생경비</t>
  </si>
  <si>
    <t>기관운영비</t>
  </si>
  <si>
    <t>회의비</t>
  </si>
  <si>
    <t>여비</t>
  </si>
  <si>
    <t>수용비및수수료</t>
  </si>
  <si>
    <t>공공요금</t>
  </si>
  <si>
    <t>제세공과금</t>
  </si>
  <si>
    <t>기타운영비</t>
    <phoneticPr fontId="3" type="noConversion"/>
  </si>
  <si>
    <t>예비비</t>
  </si>
  <si>
    <t>금월이월금</t>
  </si>
  <si>
    <t>금월잔액
(차기이월금)</t>
  </si>
  <si>
    <t>과목</t>
  </si>
  <si>
    <t>시군구보조금</t>
  </si>
  <si>
    <t>법인전입금</t>
  </si>
  <si>
    <t>제수당</t>
  </si>
  <si>
    <t>사회보험부담금</t>
  </si>
  <si>
    <t>수용비 및 수수료</t>
  </si>
  <si>
    <t>차량비</t>
  </si>
  <si>
    <t>기타운영비</t>
  </si>
  <si>
    <t>시설장비 유지비</t>
  </si>
  <si>
    <t>반환금</t>
  </si>
  <si>
    <t>합계</t>
    <phoneticPr fontId="2" type="noConversion"/>
  </si>
  <si>
    <t>반환금</t>
    <phoneticPr fontId="3" type="noConversion"/>
  </si>
  <si>
    <t>총계</t>
    <phoneticPr fontId="2" type="noConversion"/>
  </si>
  <si>
    <t>시설비</t>
    <phoneticPr fontId="2" type="noConversion"/>
  </si>
  <si>
    <t>금월이월금</t>
    <phoneticPr fontId="2" type="noConversion"/>
  </si>
  <si>
    <t>NO</t>
    <phoneticPr fontId="2" type="noConversion"/>
  </si>
  <si>
    <t>기관명</t>
    <phoneticPr fontId="2" type="noConversion"/>
  </si>
  <si>
    <t>2024년 예산(A)</t>
  </si>
  <si>
    <t>2024년 추경예산(안)(B)</t>
  </si>
  <si>
    <t>증감액(B-A)</t>
  </si>
  <si>
    <t>비율(%)</t>
    <phoneticPr fontId="2" type="noConversion"/>
  </si>
  <si>
    <t>증감사유</t>
    <phoneticPr fontId="2" type="noConversion"/>
  </si>
  <si>
    <t>본부사무국</t>
    <phoneticPr fontId="2" type="noConversion"/>
  </si>
  <si>
    <t>서울지부</t>
    <phoneticPr fontId="2" type="noConversion"/>
  </si>
  <si>
    <t>부산지부</t>
    <phoneticPr fontId="2" type="noConversion"/>
  </si>
  <si>
    <t>법인회계 소계</t>
    <phoneticPr fontId="2" type="noConversion"/>
  </si>
  <si>
    <t>서울봉천종합사회복지관</t>
    <phoneticPr fontId="2" type="noConversion"/>
  </si>
  <si>
    <t>강서종합사회복지관(총괄)</t>
    <phoneticPr fontId="2" type="noConversion"/>
  </si>
  <si>
    <t>은학의집(총괄)</t>
    <phoneticPr fontId="2" type="noConversion"/>
  </si>
  <si>
    <t>울산씨밀레</t>
    <phoneticPr fontId="2" type="noConversion"/>
  </si>
  <si>
    <t>증감액(B-A)</t>
    <phoneticPr fontId="2" type="noConversion"/>
  </si>
  <si>
    <t>사회복지법인 YWCA 복지사업단</t>
    <phoneticPr fontId="2" type="noConversion"/>
  </si>
  <si>
    <t>세부내역</t>
    <phoneticPr fontId="2" type="noConversion"/>
  </si>
  <si>
    <t> 2024년도 서울지부 추경예산(안)</t>
    <phoneticPr fontId="3" type="noConversion"/>
  </si>
  <si>
    <t>시도보조금</t>
    <phoneticPr fontId="2" type="noConversion"/>
  </si>
  <si>
    <t>기타보조금</t>
    <phoneticPr fontId="2" type="noConversion"/>
  </si>
  <si>
    <t>예비비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</si>
  <si>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</si>
  <si>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2024년 서울YWCA봉천종합사회복지관 추경예산(안)</t>
    <phoneticPr fontId="2" type="noConversion"/>
  </si>
  <si>
    <t>금월잔액</t>
    <phoneticPr fontId="2" type="noConversion"/>
  </si>
  <si>
    <t>합계</t>
    <phoneticPr fontId="2" type="noConversion"/>
  </si>
  <si>
    <t>2024년 강서어린이집 추경예산(안)</t>
    <phoneticPr fontId="3" type="noConversion"/>
  </si>
  <si>
    <t>인건비보조금</t>
    <phoneticPr fontId="2" type="noConversion"/>
  </si>
  <si>
    <t>인건비보조금</t>
    <phoneticPr fontId="3" type="noConversion"/>
  </si>
  <si>
    <t>공공형운영비</t>
    <phoneticPr fontId="2" type="noConversion"/>
  </si>
  <si>
    <t>기타지원금</t>
    <phoneticPr fontId="2" type="noConversion"/>
  </si>
  <si>
    <t>기타보조금</t>
    <phoneticPr fontId="2" type="noConversion"/>
  </si>
  <si>
    <t>전입금</t>
    <phoneticPr fontId="3" type="noConversion"/>
  </si>
  <si>
    <t>적립금처분수입</t>
    <phoneticPr fontId="2" type="noConversion"/>
  </si>
  <si>
    <t>전년도 이월금</t>
    <phoneticPr fontId="2" type="noConversion"/>
  </si>
  <si>
    <t>원장급여</t>
    <phoneticPr fontId="2" type="noConversion"/>
  </si>
  <si>
    <t>보육교직원급여</t>
    <phoneticPr fontId="3" type="noConversion"/>
  </si>
  <si>
    <t>보육교직원수당</t>
    <phoneticPr fontId="3" type="noConversion"/>
  </si>
  <si>
    <t>기타인건비</t>
    <phoneticPr fontId="2" type="noConversion"/>
  </si>
  <si>
    <t>법정부담금</t>
    <phoneticPr fontId="2" type="noConversion"/>
  </si>
  <si>
    <t>퇴직금 및 퇴직적립금</t>
    <phoneticPr fontId="2" type="noConversion"/>
  </si>
  <si>
    <t>공공요금 및 제세공과금</t>
    <phoneticPr fontId="2" type="noConversion"/>
  </si>
  <si>
    <t>연료비</t>
    <phoneticPr fontId="2" type="noConversion"/>
  </si>
  <si>
    <t>여비</t>
    <phoneticPr fontId="3" type="noConversion"/>
  </si>
  <si>
    <t>차량비</t>
    <phoneticPr fontId="3" type="noConversion"/>
  </si>
  <si>
    <t>복리후생비</t>
    <phoneticPr fontId="3" type="noConversion"/>
  </si>
  <si>
    <t>업무추진비</t>
    <phoneticPr fontId="2" type="noConversion"/>
  </si>
  <si>
    <t>직책금</t>
    <phoneticPr fontId="2" type="noConversion"/>
  </si>
  <si>
    <t>회의비</t>
    <phoneticPr fontId="2" type="noConversion"/>
  </si>
  <si>
    <t>교직원연수.연구비</t>
    <phoneticPr fontId="2" type="noConversion"/>
  </si>
  <si>
    <t>행사비</t>
    <phoneticPr fontId="2" type="noConversion"/>
  </si>
  <si>
    <t>영육아복리비</t>
    <phoneticPr fontId="2" type="noConversion"/>
  </si>
  <si>
    <t>급식. 간식 재료비</t>
    <phoneticPr fontId="3" type="noConversion"/>
  </si>
  <si>
    <t>특별활동비지출</t>
    <phoneticPr fontId="3" type="noConversion"/>
  </si>
  <si>
    <t>기타필요경비지출</t>
    <phoneticPr fontId="2" type="noConversion"/>
  </si>
  <si>
    <t>시설장비유지비</t>
    <phoneticPr fontId="3" type="noConversion"/>
  </si>
  <si>
    <t>자산취득비</t>
    <phoneticPr fontId="3" type="noConversion"/>
  </si>
  <si>
    <t>과년도 지출</t>
    <phoneticPr fontId="2" type="noConversion"/>
  </si>
  <si>
    <t>기타필요경비</t>
    <phoneticPr fontId="2" type="noConversion"/>
  </si>
  <si>
    <t>정부지원보육료</t>
    <phoneticPr fontId="2" type="noConversion"/>
  </si>
  <si>
    <t>부모부담보육료</t>
    <phoneticPr fontId="2" type="noConversion"/>
  </si>
  <si>
    <t>특별활동비</t>
    <phoneticPr fontId="2" type="noConversion"/>
  </si>
  <si>
    <t>기본보육료</t>
    <phoneticPr fontId="2" type="noConversion"/>
  </si>
  <si>
    <t>전입금</t>
    <phoneticPr fontId="2" type="noConversion"/>
  </si>
  <si>
    <t>이자수입</t>
    <phoneticPr fontId="2" type="noConversion"/>
  </si>
  <si>
    <t>기타잡수입</t>
    <phoneticPr fontId="2" type="noConversion"/>
  </si>
  <si>
    <t>전년도이월액</t>
    <phoneticPr fontId="2" type="noConversion"/>
  </si>
  <si>
    <t>전년도이월사업비</t>
    <phoneticPr fontId="2" type="noConversion"/>
  </si>
  <si>
    <t>시설회계(부산강서어린이집)</t>
    <phoneticPr fontId="2" type="noConversion"/>
  </si>
  <si>
    <t>국고보조금</t>
    <phoneticPr fontId="2" type="noConversion"/>
  </si>
  <si>
    <t>금월이월금</t>
    <phoneticPr fontId="2" type="noConversion"/>
  </si>
  <si>
    <t>강서어린이집</t>
    <phoneticPr fontId="2" type="noConversion"/>
  </si>
  <si>
    <t>강서구지역자활센터
(재가장기요양사업)</t>
    <phoneticPr fontId="2" type="noConversion"/>
  </si>
  <si>
    <t>금월이월금</t>
    <phoneticPr fontId="2" type="noConversion"/>
  </si>
  <si>
    <t>이자수입</t>
    <phoneticPr fontId="2" type="noConversion"/>
  </si>
  <si>
    <t>전년도 이월사업비</t>
    <phoneticPr fontId="2" type="noConversion"/>
  </si>
  <si>
    <t xml:space="preserve">교재.교구.구입비 </t>
    <phoneticPr fontId="2" type="noConversion"/>
  </si>
  <si>
    <t xml:space="preserve">총    액 </t>
    <phoneticPr fontId="2" type="noConversion"/>
  </si>
  <si>
    <t>시설회계  소계</t>
    <phoneticPr fontId="2" type="noConversion"/>
  </si>
  <si>
    <t xml:space="preserve"> </t>
    <phoneticPr fontId="2" type="noConversion"/>
  </si>
  <si>
    <t> 2024년도 추경예산(안) 총괄표</t>
    <phoneticPr fontId="3" type="noConversion"/>
  </si>
  <si>
    <t>사회복지법인YWCA복지사업단</t>
    <phoneticPr fontId="2" type="noConversion"/>
  </si>
  <si>
    <t>구분</t>
    <phoneticPr fontId="2" type="noConversion"/>
  </si>
  <si>
    <t xml:space="preserve">법
인
회
계
</t>
    <phoneticPr fontId="2" type="noConversion"/>
  </si>
  <si>
    <t xml:space="preserve">시
설
회
계
</t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</si>
  <si>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</si>
  <si>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세부내역</t>
    <phoneticPr fontId="2" type="noConversion"/>
  </si>
  <si>
    <t>운영비</t>
    <phoneticPr fontId="2" type="noConversion"/>
  </si>
  <si>
    <t>생계비</t>
    <phoneticPr fontId="2" type="noConversion"/>
  </si>
  <si>
    <t>수용기관경비</t>
    <phoneticPr fontId="2" type="noConversion"/>
  </si>
  <si>
    <t>의료비</t>
    <phoneticPr fontId="2" type="noConversion"/>
  </si>
  <si>
    <t>기타지원사업비</t>
    <phoneticPr fontId="2" type="noConversion"/>
  </si>
  <si>
    <t>후원사업비</t>
    <phoneticPr fontId="2" type="noConversion"/>
  </si>
  <si>
    <t>재가노인센터사업비</t>
    <phoneticPr fontId="2" type="noConversion"/>
  </si>
  <si>
    <t>청소년지원센터사업비</t>
    <phoneticPr fontId="2" type="noConversion"/>
  </si>
  <si>
    <t>발달재활바우처사업비</t>
    <phoneticPr fontId="2" type="noConversion"/>
  </si>
  <si>
    <t>공동모금회사업비</t>
    <phoneticPr fontId="2" type="noConversion"/>
  </si>
  <si>
    <t>지역아동센터사업비</t>
    <phoneticPr fontId="2" type="noConversion"/>
  </si>
  <si>
    <t>아동발달지원센터수입</t>
    <phoneticPr fontId="2" type="noConversion"/>
  </si>
  <si>
    <t>장애아동바우처사업수입</t>
    <phoneticPr fontId="2" type="noConversion"/>
  </si>
  <si>
    <t>치료지원사업수입</t>
    <phoneticPr fontId="2" type="noConversion"/>
  </si>
  <si>
    <t>교육문화사업수입</t>
    <phoneticPr fontId="2" type="noConversion"/>
  </si>
  <si>
    <t>실습생지도수입</t>
    <phoneticPr fontId="2" type="noConversion"/>
  </si>
  <si>
    <t>임대보증금비용수입</t>
    <phoneticPr fontId="2" type="noConversion"/>
  </si>
  <si>
    <t>서비스제공수입</t>
    <phoneticPr fontId="2" type="noConversion"/>
  </si>
  <si>
    <t>지역조직화수입</t>
    <phoneticPr fontId="2" type="noConversion"/>
  </si>
  <si>
    <t>본인부담금수입</t>
    <phoneticPr fontId="2" type="noConversion"/>
  </si>
  <si>
    <t>식재료수입</t>
    <phoneticPr fontId="2" type="noConversion"/>
  </si>
  <si>
    <t>상급침실이용료</t>
    <phoneticPr fontId="2" type="noConversion"/>
  </si>
  <si>
    <t>기타비급여수입</t>
    <phoneticPr fontId="2" type="noConversion"/>
  </si>
  <si>
    <t>장기요양급여수입</t>
    <phoneticPr fontId="2" type="noConversion"/>
  </si>
  <si>
    <t>가산금수입</t>
    <phoneticPr fontId="2" type="noConversion"/>
  </si>
  <si>
    <t>합계</t>
    <phoneticPr fontId="2" type="noConversion"/>
  </si>
  <si>
    <t>사업수입</t>
    <phoneticPr fontId="2" type="noConversion"/>
  </si>
  <si>
    <t>사업수입</t>
    <phoneticPr fontId="2" type="noConversion"/>
  </si>
  <si>
    <t>보조금수입</t>
    <phoneticPr fontId="2" type="noConversion"/>
  </si>
  <si>
    <t>보조금수입</t>
    <phoneticPr fontId="2" type="noConversion"/>
  </si>
  <si>
    <t>후원금수입</t>
    <phoneticPr fontId="2" type="noConversion"/>
  </si>
  <si>
    <t>후원금수입</t>
    <phoneticPr fontId="2" type="noConversion"/>
  </si>
  <si>
    <t>요양급여수입</t>
    <phoneticPr fontId="2" type="noConversion"/>
  </si>
  <si>
    <t>사례관리사업비</t>
    <phoneticPr fontId="2" type="noConversion"/>
  </si>
  <si>
    <t>입소자(이용자)부담금 수입</t>
    <phoneticPr fontId="2" type="noConversion"/>
  </si>
  <si>
    <t>입소(이용)비용수입</t>
    <phoneticPr fontId="2" type="noConversion"/>
  </si>
  <si>
    <t>바우처수입</t>
    <phoneticPr fontId="2" type="noConversion"/>
  </si>
  <si>
    <t>요양급여수입</t>
    <phoneticPr fontId="2" type="noConversion"/>
  </si>
  <si>
    <t>전입금</t>
    <phoneticPr fontId="2" type="noConversion"/>
  </si>
  <si>
    <t>이월금</t>
    <phoneticPr fontId="2" type="noConversion"/>
  </si>
  <si>
    <t>이월금</t>
    <phoneticPr fontId="2" type="noConversion"/>
  </si>
  <si>
    <t>잡수입</t>
    <phoneticPr fontId="2" type="noConversion"/>
  </si>
  <si>
    <t>기타예금이자수입</t>
    <phoneticPr fontId="2" type="noConversion"/>
  </si>
  <si>
    <t>전년도이월금(후원금)</t>
    <phoneticPr fontId="2" type="noConversion"/>
  </si>
  <si>
    <t>직원식재료수입</t>
    <phoneticPr fontId="2" type="noConversion"/>
  </si>
  <si>
    <t>적립금 및 준비금</t>
    <phoneticPr fontId="2" type="noConversion"/>
  </si>
  <si>
    <t>운영충당적립금 및 환경개선준비금</t>
    <phoneticPr fontId="2" type="noConversion"/>
  </si>
  <si>
    <t>운영충당적립금</t>
    <phoneticPr fontId="2" type="noConversion"/>
  </si>
  <si>
    <t>시설환경개선준비금</t>
    <phoneticPr fontId="2" type="noConversion"/>
  </si>
  <si>
    <t>일용잡급</t>
    <phoneticPr fontId="2" type="noConversion"/>
  </si>
  <si>
    <t>퇴직금 및 퇴직적립금</t>
    <phoneticPr fontId="2" type="noConversion"/>
  </si>
  <si>
    <t>직책보조비</t>
    <phoneticPr fontId="2" type="noConversion"/>
  </si>
  <si>
    <t>법인전입금</t>
    <phoneticPr fontId="2" type="noConversion"/>
  </si>
  <si>
    <t>법인전입금(후원금)</t>
    <phoneticPr fontId="2" type="noConversion"/>
  </si>
  <si>
    <t>사무비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</si>
  <si>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</si>
  <si>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</si>
  <si>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</si>
  <si>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재산조성비</t>
    <phoneticPr fontId="2" type="noConversion"/>
  </si>
  <si>
    <t>시설비</t>
    <phoneticPr fontId="2" type="noConversion"/>
  </si>
  <si>
    <t>서비스제공사업비</t>
    <phoneticPr fontId="2" type="noConversion"/>
  </si>
  <si>
    <t>지역조직화사업비</t>
    <phoneticPr fontId="2" type="noConversion"/>
  </si>
  <si>
    <t>프로그램사업비</t>
    <phoneticPr fontId="2" type="noConversion"/>
  </si>
  <si>
    <t>피복비</t>
    <phoneticPr fontId="2" type="noConversion"/>
  </si>
  <si>
    <t>특별급식비</t>
    <phoneticPr fontId="2" type="noConversion"/>
  </si>
  <si>
    <t>인건비</t>
    <phoneticPr fontId="2" type="noConversion"/>
  </si>
  <si>
    <t>사업비</t>
    <phoneticPr fontId="2" type="noConversion"/>
  </si>
  <si>
    <t>예비비 및 기타</t>
    <phoneticPr fontId="2" type="noConversion"/>
  </si>
  <si>
    <t> 2024년도 부산지부 추경예산(안)</t>
    <phoneticPr fontId="3" type="noConversion"/>
  </si>
  <si>
    <t>2024년 강서종합사회복지관 추경예산(안) 총괄</t>
    <phoneticPr fontId="2" type="noConversion"/>
  </si>
  <si>
    <t>구분</t>
    <phoneticPr fontId="2" type="noConversion"/>
  </si>
  <si>
    <t>원장인건비</t>
    <phoneticPr fontId="2" type="noConversion"/>
  </si>
  <si>
    <t>보유교직원인건비</t>
    <phoneticPr fontId="2" type="noConversion"/>
  </si>
  <si>
    <t>기타인건비</t>
    <phoneticPr fontId="2" type="noConversion"/>
  </si>
  <si>
    <t>기관부담금</t>
    <phoneticPr fontId="2" type="noConversion"/>
  </si>
  <si>
    <t>관리운영비</t>
    <phoneticPr fontId="2" type="noConversion"/>
  </si>
  <si>
    <t>업무추친비</t>
    <phoneticPr fontId="2" type="noConversion"/>
  </si>
  <si>
    <t>보육활동비</t>
    <phoneticPr fontId="2" type="noConversion"/>
  </si>
  <si>
    <t>기본보육활동비</t>
    <phoneticPr fontId="2" type="noConversion"/>
  </si>
  <si>
    <t>수익자부담경비</t>
    <phoneticPr fontId="2" type="noConversion"/>
  </si>
  <si>
    <t>선택적보육활동비</t>
    <phoneticPr fontId="2" type="noConversion"/>
  </si>
  <si>
    <t>기타필요경비</t>
    <phoneticPr fontId="2" type="noConversion"/>
  </si>
  <si>
    <t>재산조성비</t>
    <phoneticPr fontId="2" type="noConversion"/>
  </si>
  <si>
    <t>시설비</t>
    <phoneticPr fontId="2" type="noConversion"/>
  </si>
  <si>
    <t>자산구입비</t>
    <phoneticPr fontId="2" type="noConversion"/>
  </si>
  <si>
    <t>과년도 지출</t>
    <phoneticPr fontId="2" type="noConversion"/>
  </si>
  <si>
    <t>과년도 지출</t>
    <phoneticPr fontId="2" type="noConversion"/>
  </si>
  <si>
    <t>잡지출</t>
    <phoneticPr fontId="2" type="noConversion"/>
  </si>
  <si>
    <t>예비비 및 기타</t>
    <phoneticPr fontId="3" type="noConversion"/>
  </si>
  <si>
    <t>예비비 및 기타</t>
    <phoneticPr fontId="3" type="noConversion"/>
  </si>
  <si>
    <t>시설회계(부산강서어린이집)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</si>
  <si>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</si>
  <si>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 xml:space="preserve">2024년 강서종합사회복지관 추경예산(안) </t>
    <phoneticPr fontId="2" type="noConversion"/>
  </si>
  <si>
    <t>2024년 재가노인지원서비스 추경예산(안) 총괄</t>
    <phoneticPr fontId="2" type="noConversion"/>
  </si>
  <si>
    <t>2024년 청소년지원센터 추경예산(안) 총괄</t>
    <phoneticPr fontId="2" type="noConversion"/>
  </si>
  <si>
    <t>2024년 강서지역아동센터 추경예산(안) 총괄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</si>
  <si>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</si>
  <si>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2024년 발달재활서비스 추경예산(안) 총괄</t>
    <phoneticPr fontId="2" type="noConversion"/>
  </si>
  <si>
    <t>2024년 자원봉사센터 추경예산(안) 총괄</t>
    <phoneticPr fontId="2" type="noConversion"/>
  </si>
  <si>
    <t>2024년 심리치유서비스 추경예산(안) 총괄</t>
    <phoneticPr fontId="2" type="noConversion"/>
  </si>
  <si>
    <t>프로그램사업비</t>
    <phoneticPr fontId="2" type="noConversion"/>
  </si>
  <si>
    <t>의료재활사업비</t>
    <phoneticPr fontId="2" type="noConversion"/>
  </si>
  <si>
    <t>사회심리재활사업비</t>
    <phoneticPr fontId="2" type="noConversion"/>
  </si>
  <si>
    <t>교육재활사업비</t>
    <phoneticPr fontId="2" type="noConversion"/>
  </si>
  <si>
    <t>직업재활사업비</t>
    <phoneticPr fontId="2" type="noConversion"/>
  </si>
  <si>
    <t>2024년 추경예산(안)
(B)</t>
    <phoneticPr fontId="2" type="noConversion"/>
  </si>
  <si>
    <t>2024년 예산
(A)</t>
    <phoneticPr fontId="2" type="noConversion"/>
  </si>
  <si>
    <r>
      <t xml:space="preserve">2024년 추경예산(안) </t>
    </r>
    <r>
      <rPr>
        <b/>
        <u/>
        <sz val="22"/>
        <color theme="8" tint="-0.249977111117893"/>
        <rFont val="맑은 고딕"/>
        <family val="3"/>
        <charset val="129"/>
        <scheme val="minor"/>
      </rPr>
      <t>지부별</t>
    </r>
    <r>
      <rPr>
        <b/>
        <u/>
        <sz val="22"/>
        <color theme="1"/>
        <rFont val="맑은 고딕"/>
        <family val="3"/>
        <charset val="129"/>
        <scheme val="minor"/>
      </rPr>
      <t xml:space="preserve"> 총괄표</t>
    </r>
    <phoneticPr fontId="2" type="noConversion"/>
  </si>
  <si>
    <t>가족참여사업비</t>
    <phoneticPr fontId="2" type="noConversion"/>
  </si>
  <si>
    <t>문화탐방비</t>
    <phoneticPr fontId="2" type="noConversion"/>
  </si>
  <si>
    <t>자원봉사자관리사업비</t>
    <phoneticPr fontId="2" type="noConversion"/>
  </si>
  <si>
    <t>홍보사업비</t>
    <phoneticPr fontId="2" type="noConversion"/>
  </si>
  <si>
    <t>후원자관리사업비</t>
    <phoneticPr fontId="2" type="noConversion"/>
  </si>
  <si>
    <t>실버비지니스사업</t>
    <phoneticPr fontId="2" type="noConversion"/>
  </si>
  <si>
    <t>특별행사사업비</t>
    <phoneticPr fontId="2" type="noConversion"/>
  </si>
  <si>
    <t>잡수입</t>
    <phoneticPr fontId="2" type="noConversion"/>
  </si>
  <si>
    <t>사업수입</t>
    <phoneticPr fontId="2" type="noConversion"/>
  </si>
  <si>
    <t>보조금수입</t>
    <phoneticPr fontId="2" type="noConversion"/>
  </si>
  <si>
    <t>전입금</t>
    <phoneticPr fontId="2" type="noConversion"/>
  </si>
  <si>
    <t>사업수입</t>
    <phoneticPr fontId="2" type="noConversion"/>
  </si>
  <si>
    <t>보조금수입</t>
    <phoneticPr fontId="2" type="noConversion"/>
  </si>
  <si>
    <t>후원금수입</t>
    <phoneticPr fontId="2" type="noConversion"/>
  </si>
  <si>
    <t>이월금</t>
    <phoneticPr fontId="2" type="noConversion"/>
  </si>
  <si>
    <t>보육료</t>
    <phoneticPr fontId="2" type="noConversion"/>
  </si>
  <si>
    <t>보육료</t>
    <phoneticPr fontId="2" type="noConversion"/>
  </si>
  <si>
    <t>수익자부담수입</t>
    <phoneticPr fontId="2" type="noConversion"/>
  </si>
  <si>
    <t>선택적보육활동비</t>
    <phoneticPr fontId="2" type="noConversion"/>
  </si>
  <si>
    <t>기타필요경비</t>
    <phoneticPr fontId="2" type="noConversion"/>
  </si>
  <si>
    <t>인건비보조금</t>
    <phoneticPr fontId="3" type="noConversion"/>
  </si>
  <si>
    <t>보조금및지원금</t>
    <phoneticPr fontId="2" type="noConversion"/>
  </si>
  <si>
    <t>운영보조금</t>
    <phoneticPr fontId="2" type="noConversion"/>
  </si>
  <si>
    <t>전입금</t>
    <phoneticPr fontId="2" type="noConversion"/>
  </si>
  <si>
    <t>적립금</t>
    <phoneticPr fontId="2" type="noConversion"/>
  </si>
  <si>
    <t>잡수입</t>
    <phoneticPr fontId="2" type="noConversion"/>
  </si>
  <si>
    <t>전년도이월금</t>
    <phoneticPr fontId="2" type="noConversion"/>
  </si>
  <si>
    <t>잡수입</t>
    <phoneticPr fontId="2" type="noConversion"/>
  </si>
  <si>
    <t>적립금</t>
    <phoneticPr fontId="2" type="noConversion"/>
  </si>
  <si>
    <t>잡지출</t>
    <phoneticPr fontId="2" type="noConversion"/>
  </si>
  <si>
    <t>예비비 및 기타</t>
    <phoneticPr fontId="2" type="noConversion"/>
  </si>
  <si>
    <t>사업비</t>
    <phoneticPr fontId="2" type="noConversion"/>
  </si>
  <si>
    <t>예비비 및 기타</t>
    <phoneticPr fontId="2" type="noConversion"/>
  </si>
  <si>
    <t>사업비</t>
    <phoneticPr fontId="2" type="noConversion"/>
  </si>
  <si>
    <t xml:space="preserve">사업비 </t>
    <phoneticPr fontId="2" type="noConversion"/>
  </si>
  <si>
    <t>잡지출</t>
    <phoneticPr fontId="2" type="noConversion"/>
  </si>
  <si>
    <t>사업비</t>
    <phoneticPr fontId="2" type="noConversion"/>
  </si>
  <si>
    <t>잡지출</t>
    <phoneticPr fontId="2" type="noConversion"/>
  </si>
  <si>
    <t>예비비 및 기타</t>
    <phoneticPr fontId="2" type="noConversion"/>
  </si>
  <si>
    <t>잡지출</t>
    <phoneticPr fontId="2" type="noConversion"/>
  </si>
  <si>
    <t>잡지출</t>
    <phoneticPr fontId="2" type="noConversion"/>
  </si>
  <si>
    <t>예비비 및 기타</t>
    <phoneticPr fontId="2" type="noConversion"/>
  </si>
  <si>
    <t>보육료</t>
    <phoneticPr fontId="2" type="noConversion"/>
  </si>
  <si>
    <t>보육료</t>
    <phoneticPr fontId="3" type="noConversion"/>
  </si>
  <si>
    <t>수익자부담수입</t>
    <phoneticPr fontId="2" type="noConversion"/>
  </si>
  <si>
    <t>인건비보조금</t>
    <phoneticPr fontId="2" type="noConversion"/>
  </si>
  <si>
    <t>운영보조금</t>
    <phoneticPr fontId="2" type="noConversion"/>
  </si>
  <si>
    <t>전입금</t>
    <phoneticPr fontId="3" type="noConversion"/>
  </si>
  <si>
    <t>적립급</t>
    <phoneticPr fontId="2" type="noConversion"/>
  </si>
  <si>
    <t>적립급</t>
    <phoneticPr fontId="2" type="noConversion"/>
  </si>
  <si>
    <t>전년도이월액</t>
    <phoneticPr fontId="2" type="noConversion"/>
  </si>
  <si>
    <t>전년도 이월액</t>
    <phoneticPr fontId="2" type="noConversion"/>
  </si>
  <si>
    <t>인건비</t>
    <phoneticPr fontId="2" type="noConversion"/>
  </si>
  <si>
    <t>보유교직원인건비</t>
    <phoneticPr fontId="2" type="noConversion"/>
  </si>
  <si>
    <t>기본보육활동비</t>
    <phoneticPr fontId="2" type="noConversion"/>
  </si>
  <si>
    <t>보육활동비</t>
    <phoneticPr fontId="2" type="noConversion"/>
  </si>
  <si>
    <t>수익자부담경비</t>
    <phoneticPr fontId="2" type="noConversion"/>
  </si>
  <si>
    <t>기타필요경비</t>
    <phoneticPr fontId="2" type="noConversion"/>
  </si>
  <si>
    <t>자산구입비</t>
    <phoneticPr fontId="2" type="noConversion"/>
  </si>
  <si>
    <t>재산조성비</t>
    <phoneticPr fontId="2" type="noConversion"/>
  </si>
  <si>
    <t>예비비 및 기타</t>
    <phoneticPr fontId="3" type="noConversion"/>
  </si>
  <si>
    <t>과년도 지출</t>
    <phoneticPr fontId="2" type="noConversion"/>
  </si>
  <si>
    <t>잡지출</t>
    <phoneticPr fontId="2" type="noConversion"/>
  </si>
  <si>
    <t>예비비 및 기타</t>
    <phoneticPr fontId="2" type="noConversion"/>
  </si>
  <si>
    <t>사업비</t>
    <phoneticPr fontId="2" type="noConversion"/>
  </si>
  <si>
    <t xml:space="preserve"> 시
설
회
계
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</si>
  <si>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</si>
  <si>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</si>
  <si>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</si>
  <si>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</si>
  <si>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</si>
  <si>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2024년 추경예산(안)(B)</t>
    <phoneticPr fontId="2" type="noConversion"/>
  </si>
  <si>
    <t>강서종합사회복지관</t>
    <phoneticPr fontId="2" type="noConversion"/>
  </si>
  <si>
    <t>재가노인지원서시비스센터</t>
    <phoneticPr fontId="2" type="noConversion"/>
  </si>
  <si>
    <t>지역아동센터</t>
    <phoneticPr fontId="2" type="noConversion"/>
  </si>
  <si>
    <t>자원봉사센터</t>
    <phoneticPr fontId="2" type="noConversion"/>
  </si>
  <si>
    <t>청소년지원센터</t>
    <phoneticPr fontId="2" type="noConversion"/>
  </si>
  <si>
    <t>발달재활서비스</t>
    <phoneticPr fontId="2" type="noConversion"/>
  </si>
  <si>
    <t>심리치유서비스</t>
    <phoneticPr fontId="2" type="noConversion"/>
  </si>
  <si>
    <t>2024년 추경예산(안)(B)</t>
    <phoneticPr fontId="2" type="noConversion"/>
  </si>
  <si>
    <t>2024년 추경예산(안)(B)</t>
    <phoneticPr fontId="2" type="noConversion"/>
  </si>
  <si>
    <t>2024년 추경예산(안)(B)</t>
    <phoneticPr fontId="2" type="noConversion"/>
  </si>
  <si>
    <t>2024년 추경예산(안)(B)</t>
    <phoneticPr fontId="2" type="noConversion"/>
  </si>
  <si>
    <t>2024년 추경예산(안)
(B)</t>
    <phoneticPr fontId="2" type="noConversion"/>
  </si>
  <si>
    <t>요양급여수입</t>
    <phoneticPr fontId="2" type="noConversion"/>
  </si>
  <si>
    <t>입소자(이용자)부담금 수입</t>
    <phoneticPr fontId="2" type="noConversion"/>
  </si>
  <si>
    <t>입소자(이용자)부담금 수입</t>
    <phoneticPr fontId="2" type="noConversion"/>
  </si>
  <si>
    <t>입소(이용)비용수입</t>
    <phoneticPr fontId="2" type="noConversion"/>
  </si>
  <si>
    <t>입소(이용)비용수입</t>
    <phoneticPr fontId="2" type="noConversion"/>
  </si>
  <si>
    <t>적립금 및 준비금</t>
    <phoneticPr fontId="2" type="noConversion"/>
  </si>
  <si>
    <t>정비지원 보육료</t>
    <phoneticPr fontId="3" type="noConversion"/>
  </si>
  <si>
    <t>부모부담 보육료</t>
  </si>
  <si>
    <t>전입금</t>
    <phoneticPr fontId="2" type="noConversion"/>
  </si>
  <si>
    <t>합계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</si>
  <si>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</si>
  <si>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</si>
  <si>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</si>
  <si>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</si>
  <si>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</si>
  <si>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</si>
  <si>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</si>
  <si>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</si>
  <si>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</si>
  <si>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</si>
  <si>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불용품매각대</t>
    <phoneticPr fontId="2" type="noConversion"/>
  </si>
  <si>
    <t>기타예금이자수입</t>
    <phoneticPr fontId="2" type="noConversion"/>
  </si>
  <si>
    <t>불용품매각대</t>
    <phoneticPr fontId="2" type="noConversion"/>
  </si>
  <si>
    <t>불용품매각대</t>
    <phoneticPr fontId="2" type="noConversion"/>
  </si>
  <si>
    <t>불용품매각대</t>
    <phoneticPr fontId="2" type="noConversion"/>
  </si>
  <si>
    <t>합계</t>
    <phoneticPr fontId="2" type="noConversion"/>
  </si>
  <si>
    <t>불용품매각대</t>
    <phoneticPr fontId="2" type="noConversion"/>
  </si>
  <si>
    <t>불용품매각대</t>
    <phoneticPr fontId="2" type="noConversion"/>
  </si>
  <si>
    <t>불용품매각대</t>
    <phoneticPr fontId="2" type="noConversion"/>
  </si>
  <si>
    <t>블용품매각대</t>
    <phoneticPr fontId="2" type="noConversion"/>
  </si>
  <si>
    <t>불용품매각대</t>
    <phoneticPr fontId="2" type="noConversion"/>
  </si>
  <si>
    <t>불용품매각대</t>
    <phoneticPr fontId="2" type="noConversion"/>
  </si>
  <si>
    <t>불용품매각대</t>
    <phoneticPr fontId="2" type="noConversion"/>
  </si>
  <si>
    <t>기타전입금</t>
    <phoneticPr fontId="2" type="noConversion"/>
  </si>
  <si>
    <t>기타전입금</t>
    <phoneticPr fontId="2" type="noConversion"/>
  </si>
  <si>
    <t>기타전입금</t>
    <phoneticPr fontId="2" type="noConversion"/>
  </si>
  <si>
    <t>기타전입금</t>
    <phoneticPr fontId="2" type="noConversion"/>
  </si>
  <si>
    <t>기타전입금</t>
    <phoneticPr fontId="2" type="noConversion"/>
  </si>
  <si>
    <t>지정 후원금으로 인한 증액</t>
    <phoneticPr fontId="2" type="noConversion"/>
  </si>
  <si>
    <t>운영충당 적립금 및 환경 개선준비금</t>
    <phoneticPr fontId="2" type="noConversion"/>
  </si>
  <si>
    <t>시설환경개선준비금</t>
    <phoneticPr fontId="2" type="noConversion"/>
  </si>
  <si>
    <t>적립금 및 준비금(특별회계)</t>
    <phoneticPr fontId="2" type="noConversion"/>
  </si>
  <si>
    <t>운영충당적립금 지출</t>
    <phoneticPr fontId="2" type="noConversion"/>
  </si>
  <si>
    <t>운영충당적립금 지출</t>
    <phoneticPr fontId="2" type="noConversion"/>
  </si>
  <si>
    <t>시설환경개선부담금 지출</t>
    <phoneticPr fontId="2" type="noConversion"/>
  </si>
  <si>
    <t>시설환경개선부담금 지출</t>
    <phoneticPr fontId="2" type="noConversion"/>
  </si>
  <si>
    <t>합계</t>
    <phoneticPr fontId="2" type="noConversion"/>
  </si>
  <si>
    <t>금월이월금</t>
    <phoneticPr fontId="2" type="noConversion"/>
  </si>
  <si>
    <t>금월잔액</t>
    <phoneticPr fontId="2" type="noConversion"/>
  </si>
  <si>
    <t>총계</t>
    <phoneticPr fontId="2" type="noConversion"/>
  </si>
  <si>
    <t>운영충당 적립금 및 환경 개선준비금</t>
    <phoneticPr fontId="2" type="noConversion"/>
  </si>
  <si>
    <t>운영충당적립금</t>
    <phoneticPr fontId="2" type="noConversion"/>
  </si>
  <si>
    <t>시설환경개선준비금</t>
    <phoneticPr fontId="2" type="noConversion"/>
  </si>
  <si>
    <t>적립금 및 준비금(특별회계)</t>
    <phoneticPr fontId="2" type="noConversion"/>
  </si>
  <si>
    <t>운영충당 적립금 및 환경 개선준비금</t>
    <phoneticPr fontId="2" type="noConversion"/>
  </si>
  <si>
    <t>운영충당적립금 지출</t>
    <phoneticPr fontId="2" type="noConversion"/>
  </si>
  <si>
    <t>금월이월금</t>
    <phoneticPr fontId="2" type="noConversion"/>
  </si>
  <si>
    <t>금월이월금</t>
    <phoneticPr fontId="2" type="noConversion"/>
  </si>
  <si>
    <t>시설환경개선준비금</t>
    <phoneticPr fontId="2" type="noConversion"/>
  </si>
  <si>
    <t>적립금 및 준비금(특별회계)</t>
    <phoneticPr fontId="2" type="noConversion"/>
  </si>
  <si>
    <t>시설환경개선부담금 지출</t>
    <phoneticPr fontId="2" type="noConversion"/>
  </si>
  <si>
    <t>운영충당 적립금 및 환경 개선준비금</t>
    <phoneticPr fontId="2" type="noConversion"/>
  </si>
  <si>
    <t>운영충당적립금</t>
    <phoneticPr fontId="2" type="noConversion"/>
  </si>
  <si>
    <t>합계</t>
    <phoneticPr fontId="2" type="noConversion"/>
  </si>
  <si>
    <t>운영충당 적립금 및 환경 개선준비금</t>
    <phoneticPr fontId="2" type="noConversion"/>
  </si>
  <si>
    <t>운영충당적립금 지출</t>
    <phoneticPr fontId="2" type="noConversion"/>
  </si>
  <si>
    <t>금월이월금</t>
    <phoneticPr fontId="2" type="noConversion"/>
  </si>
  <si>
    <t>금월잔액</t>
    <phoneticPr fontId="2" type="noConversion"/>
  </si>
  <si>
    <t>운영충당적립금</t>
    <phoneticPr fontId="2" type="noConversion"/>
  </si>
  <si>
    <t>적립금 및 준비금(특별회계)</t>
    <phoneticPr fontId="2" type="noConversion"/>
  </si>
  <si>
    <t>금월이월금</t>
    <phoneticPr fontId="2" type="noConversion"/>
  </si>
  <si>
    <t>2024년 결산
(1월~11월)</t>
    <phoneticPr fontId="2" type="noConversion"/>
  </si>
  <si>
    <t>2024년 결산
(1월~11월)</t>
    <phoneticPr fontId="2" type="noConversion"/>
  </si>
  <si>
    <t>2024년 결산
(1월~11월)</t>
    <phoneticPr fontId="2" type="noConversion"/>
  </si>
  <si>
    <t>2024년 결산
(1월~11월)</t>
    <phoneticPr fontId="2" type="noConversion"/>
  </si>
  <si>
    <t>2024년 결산
(1~11월)</t>
    <phoneticPr fontId="2" type="noConversion"/>
  </si>
  <si>
    <t>2024년 결산
(1월~11월)</t>
    <phoneticPr fontId="2" type="noConversion"/>
  </si>
  <si>
    <t>2024년 결산
(1월~11월)</t>
    <phoneticPr fontId="2" type="noConversion"/>
  </si>
  <si>
    <t>직책보조비</t>
    <phoneticPr fontId="2" type="noConversion"/>
  </si>
  <si>
    <t>2024년 울산씨밀레 추경예산(안) 총괄</t>
    <phoneticPr fontId="2" type="noConversion"/>
  </si>
  <si>
    <t>2024년 결산
(1월~11월)</t>
    <phoneticPr fontId="2" type="noConversion"/>
  </si>
  <si>
    <t>후원금 수입 없음</t>
    <phoneticPr fontId="2" type="noConversion"/>
  </si>
  <si>
    <t>이월금확정</t>
    <phoneticPr fontId="2" type="noConversion"/>
  </si>
  <si>
    <t>이월금확정</t>
    <phoneticPr fontId="2" type="noConversion"/>
  </si>
  <si>
    <t>법인세 환급금</t>
    <phoneticPr fontId="2" type="noConversion"/>
  </si>
  <si>
    <r>
      <t>■ 추경금액 :</t>
    </r>
    <r>
      <rPr>
        <sz val="12"/>
        <color theme="1"/>
        <rFont val="맑은 고딕"/>
        <family val="3"/>
        <charset val="129"/>
      </rPr>
      <t xml:space="preserve"> 2024년 추경예산(안) </t>
    </r>
    <r>
      <rPr>
        <b/>
        <u/>
        <sz val="12"/>
        <color theme="1"/>
        <rFont val="맑은 고딕"/>
        <family val="3"/>
        <charset val="129"/>
      </rPr>
      <t>총액 47,510,000원</t>
    </r>
    <r>
      <rPr>
        <b/>
        <sz val="12"/>
        <color theme="1"/>
        <rFont val="맑은 고딕"/>
        <family val="3"/>
        <charset val="129"/>
      </rPr>
      <t xml:space="preserve">
                 </t>
    </r>
    <r>
      <rPr>
        <sz val="12"/>
        <color theme="1"/>
        <rFont val="맑은 고딕"/>
        <family val="3"/>
        <charset val="129"/>
      </rPr>
      <t xml:space="preserve"> 2024년 예산 </t>
    </r>
    <r>
      <rPr>
        <b/>
        <u/>
        <sz val="12"/>
        <color theme="1"/>
        <rFont val="맑은 고딕"/>
        <family val="3"/>
        <charset val="129"/>
      </rPr>
      <t>총액 45,240,000원</t>
    </r>
    <r>
      <rPr>
        <b/>
        <sz val="12"/>
        <color theme="1"/>
        <rFont val="맑은 고딕"/>
        <family val="3"/>
        <charset val="129"/>
      </rPr>
      <t xml:space="preserve"> 대비 5.0% 증가</t>
    </r>
    <phoneticPr fontId="2" type="noConversion"/>
  </si>
  <si>
    <r>
      <t xml:space="preserve">■ 추경금액 : </t>
    </r>
    <r>
      <rPr>
        <sz val="12"/>
        <rFont val="맑은 고딕"/>
        <family val="3"/>
        <charset val="129"/>
      </rPr>
      <t>2024년 3차추경예산(안) 총액</t>
    </r>
    <r>
      <rPr>
        <b/>
        <sz val="12"/>
        <rFont val="맑은 고딕"/>
        <family val="3"/>
        <charset val="129"/>
      </rPr>
      <t xml:space="preserve"> </t>
    </r>
    <r>
      <rPr>
        <b/>
        <u/>
        <sz val="12"/>
        <rFont val="맑은 고딕"/>
        <family val="3"/>
        <charset val="129"/>
      </rPr>
      <t>1,634,463,000</t>
    </r>
    <r>
      <rPr>
        <b/>
        <sz val="12"/>
        <rFont val="맑은 고딕"/>
        <family val="3"/>
        <charset val="129"/>
      </rPr>
      <t xml:space="preserve">원
                  </t>
    </r>
    <r>
      <rPr>
        <sz val="12"/>
        <rFont val="맑은 고딕"/>
        <family val="3"/>
        <charset val="129"/>
      </rPr>
      <t xml:space="preserve">2024년 2차추경예산 총액  </t>
    </r>
    <r>
      <rPr>
        <b/>
        <u/>
        <sz val="12"/>
        <rFont val="맑은 고딕"/>
        <family val="3"/>
        <charset val="129"/>
      </rPr>
      <t>1,693,150,000</t>
    </r>
    <r>
      <rPr>
        <b/>
        <sz val="12"/>
        <rFont val="맑은 고딕"/>
        <family val="3"/>
        <charset val="129"/>
      </rPr>
      <t>원</t>
    </r>
    <r>
      <rPr>
        <sz val="12"/>
        <rFont val="맑은 고딕"/>
        <family val="3"/>
        <charset val="129"/>
      </rPr>
      <t xml:space="preserve"> 대비 </t>
    </r>
    <r>
      <rPr>
        <b/>
        <sz val="12"/>
        <rFont val="맑은 고딕"/>
        <family val="3"/>
        <charset val="129"/>
      </rPr>
      <t>3.5% 감소</t>
    </r>
    <phoneticPr fontId="2" type="noConversion"/>
  </si>
  <si>
    <r>
      <t xml:space="preserve">■ 추경금액 : </t>
    </r>
    <r>
      <rPr>
        <sz val="12"/>
        <rFont val="맑은 고딕"/>
        <family val="3"/>
        <charset val="129"/>
      </rPr>
      <t>2024년 3차추경예산(안) 총액</t>
    </r>
    <r>
      <rPr>
        <b/>
        <sz val="12"/>
        <rFont val="맑은 고딕"/>
        <family val="3"/>
        <charset val="129"/>
      </rPr>
      <t xml:space="preserve"> </t>
    </r>
    <r>
      <rPr>
        <b/>
        <u/>
        <sz val="12"/>
        <rFont val="맑은 고딕"/>
        <family val="3"/>
        <charset val="129"/>
      </rPr>
      <t>151,258,000</t>
    </r>
    <r>
      <rPr>
        <b/>
        <sz val="12"/>
        <rFont val="맑은 고딕"/>
        <family val="3"/>
        <charset val="129"/>
      </rPr>
      <t xml:space="preserve">원
                  </t>
    </r>
    <r>
      <rPr>
        <sz val="12"/>
        <rFont val="맑은 고딕"/>
        <family val="3"/>
        <charset val="129"/>
      </rPr>
      <t xml:space="preserve">2024년 2차추경예산 총액 </t>
    </r>
    <r>
      <rPr>
        <b/>
        <u/>
        <sz val="12"/>
        <rFont val="맑은 고딕"/>
        <family val="3"/>
        <charset val="129"/>
      </rPr>
      <t>155,806,000</t>
    </r>
    <r>
      <rPr>
        <b/>
        <sz val="12"/>
        <rFont val="맑은 고딕"/>
        <family val="3"/>
        <charset val="129"/>
      </rPr>
      <t>원</t>
    </r>
    <r>
      <rPr>
        <sz val="12"/>
        <rFont val="맑은 고딕"/>
        <family val="3"/>
        <charset val="129"/>
      </rPr>
      <t xml:space="preserve"> 대비</t>
    </r>
    <r>
      <rPr>
        <b/>
        <sz val="12"/>
        <rFont val="맑은 고딕"/>
        <family val="3"/>
        <charset val="129"/>
      </rPr>
      <t xml:space="preserve"> 2.9% 감소</t>
    </r>
    <phoneticPr fontId="2" type="noConversion"/>
  </si>
  <si>
    <r>
      <t xml:space="preserve">■ 추경금액 : </t>
    </r>
    <r>
      <rPr>
        <sz val="12"/>
        <rFont val="맑은 고딕"/>
        <family val="3"/>
        <charset val="129"/>
      </rPr>
      <t>2024년 3차추경예산(안) 총액</t>
    </r>
    <r>
      <rPr>
        <b/>
        <sz val="12"/>
        <rFont val="맑은 고딕"/>
        <family val="3"/>
        <charset val="129"/>
      </rPr>
      <t xml:space="preserve"> </t>
    </r>
    <r>
      <rPr>
        <b/>
        <u/>
        <sz val="12"/>
        <rFont val="맑은 고딕"/>
        <family val="3"/>
        <charset val="129"/>
      </rPr>
      <t xml:space="preserve">   247,450,000</t>
    </r>
    <r>
      <rPr>
        <b/>
        <sz val="12"/>
        <rFont val="맑은 고딕"/>
        <family val="3"/>
        <charset val="129"/>
      </rPr>
      <t xml:space="preserve">원
                  </t>
    </r>
    <r>
      <rPr>
        <sz val="12"/>
        <rFont val="맑은 고딕"/>
        <family val="3"/>
        <charset val="129"/>
      </rPr>
      <t>2024년 2차추경예산 총액</t>
    </r>
    <r>
      <rPr>
        <b/>
        <u/>
        <sz val="12"/>
        <rFont val="맑은 고딕"/>
        <family val="3"/>
        <charset val="129"/>
      </rPr>
      <t xml:space="preserve">   253,268,000</t>
    </r>
    <r>
      <rPr>
        <b/>
        <sz val="12"/>
        <rFont val="맑은 고딕"/>
        <family val="3"/>
        <charset val="129"/>
      </rPr>
      <t>원</t>
    </r>
    <r>
      <rPr>
        <sz val="12"/>
        <rFont val="맑은 고딕"/>
        <family val="3"/>
        <charset val="129"/>
      </rPr>
      <t xml:space="preserve"> 대비</t>
    </r>
    <r>
      <rPr>
        <b/>
        <sz val="12"/>
        <rFont val="맑은 고딕"/>
        <family val="3"/>
        <charset val="129"/>
      </rPr>
      <t xml:space="preserve"> 2.3% 감소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</si>
  <si>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3차추경예산(안)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98,640,000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2차추경예산 총액 </t>
    </r>
    <r>
      <rPr>
        <b/>
        <u/>
        <sz val="12"/>
        <color theme="1"/>
        <rFont val="맑은 고딕"/>
        <family val="3"/>
        <charset val="129"/>
      </rPr>
      <t>98,640,000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0%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</si>
  <si>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3차추경예산(안)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 316,288,000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2차추경예산 총액</t>
    </r>
    <r>
      <rPr>
        <b/>
        <u/>
        <sz val="12"/>
        <color theme="1"/>
        <rFont val="맑은 고딕"/>
        <family val="3"/>
        <charset val="129"/>
      </rPr>
      <t xml:space="preserve">  320,870,000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1.4% 감소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</si>
  <si>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3차추경예산(안)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 149,248,000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2차추경예산 총액</t>
    </r>
    <r>
      <rPr>
        <b/>
        <u/>
        <sz val="12"/>
        <color theme="1"/>
        <rFont val="맑은 고딕"/>
        <family val="3"/>
        <charset val="129"/>
      </rPr>
      <t xml:space="preserve">  160,828,000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7.2% 감소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</si>
  <si>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3차추경예산(안)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3,060,000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2차추경예산 총액</t>
    </r>
    <r>
      <rPr>
        <b/>
        <u/>
        <sz val="12"/>
        <color theme="1"/>
        <rFont val="맑은 고딕"/>
        <family val="3"/>
        <charset val="129"/>
      </rPr>
      <t xml:space="preserve">  7,481,000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59.1% 감소</t>
    </r>
    <phoneticPr fontId="2" type="noConversion"/>
  </si>
  <si>
    <t>복지관: 육아휴직에 따른 인건비 감소
지역아동: 입.퇴사에 따른 급여차액 감소
자원봉사: 입.퇴사에 따른 급여차액 감소
발달재활: 바우처아동감소에 따른 급여 감소
심리치유: 바우처아동감소에 따른 급여 감소</t>
    <phoneticPr fontId="2" type="noConversion"/>
  </si>
  <si>
    <t>복지관: 육아휴직에 따른 인건비 감소
지역아동: 입.퇴사에 따른 제수당차액 감소
자원봉사: 입.퇴사에 따른 제수당차액 감소
청소년지원: 제수당 감소
발달재활: 바우처아동감소에 따른 제수당 감소
심리치유: 바우처아동감소에 따른 제수당 감소</t>
    <phoneticPr fontId="2" type="noConversion"/>
  </si>
  <si>
    <t>복지관: 육아휴직에 따른 사회보험료 감소
재가노인: 국민연금등 사회보험료 감소
지역아동: 입.퇴사에 따른 사회보험료 감소
자원봉사: 입.퇴사에 따른 사회보험료 감소
발달재활: 바우처아동감소에 따른 사회보험료 감소
심리치유: 바우처아동감소에 따른 사회보험료 감소</t>
    <phoneticPr fontId="2" type="noConversion"/>
  </si>
  <si>
    <t>복지관: 복지포인트 대상자 감소
자원봉사: 입.퇴사에 따른 기타후생경비 감소</t>
    <phoneticPr fontId="2" type="noConversion"/>
  </si>
  <si>
    <t>자원봉사: 자원봉사자관리비 감소</t>
    <phoneticPr fontId="2" type="noConversion"/>
  </si>
  <si>
    <t>자원봉사: 운영위원회의비 증가</t>
  </si>
  <si>
    <t>재가노인: 여비 감소
자원봉사: 여비 감소</t>
    <phoneticPr fontId="2" type="noConversion"/>
  </si>
  <si>
    <t>2억 이자 감소(이자율 3.74%)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</si>
  <si>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2,238,000,000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예산 총액  </t>
    </r>
    <r>
      <rPr>
        <b/>
        <u/>
        <sz val="12"/>
        <color theme="1"/>
        <rFont val="맑은 고딕"/>
        <family val="3"/>
        <charset val="129"/>
      </rPr>
      <t>2,160,000,000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3.6% 증가</t>
    </r>
    <phoneticPr fontId="2" type="noConversion"/>
  </si>
  <si>
    <t>2024년 결산(B)
(1월~11월)</t>
    <phoneticPr fontId="2" type="noConversion"/>
  </si>
  <si>
    <t>2024년 결산(B)
 (1월~11월)</t>
    <phoneticPr fontId="2" type="noConversion"/>
  </si>
  <si>
    <t>증감액(B-A)</t>
    <phoneticPr fontId="2" type="noConversion"/>
  </si>
  <si>
    <t xml:space="preserve">봉천종합사회복지관 토지분 재산세 1,154,800원
주민세 62,500원 </t>
    <phoneticPr fontId="2" type="noConversion"/>
  </si>
  <si>
    <t>지역축제 미실시에 따른 보조금 미교부</t>
    <phoneticPr fontId="2" type="noConversion"/>
  </si>
  <si>
    <t>후원금 증액</t>
    <phoneticPr fontId="2" type="noConversion"/>
  </si>
  <si>
    <t>이자율 감소에 따른 감액</t>
    <phoneticPr fontId="2" type="noConversion"/>
  </si>
  <si>
    <t>육아휴직자 퇴직적립금 반영</t>
    <phoneticPr fontId="2" type="noConversion"/>
  </si>
  <si>
    <t>연장근로수당 증액</t>
    <phoneticPr fontId="2" type="noConversion"/>
  </si>
  <si>
    <t>직원식대수입 감액</t>
    <phoneticPr fontId="2" type="noConversion"/>
  </si>
  <si>
    <t>육아휴직에 따른 인건비 감액</t>
    <phoneticPr fontId="2" type="noConversion"/>
  </si>
  <si>
    <t xml:space="preserve">인건비, 운영비 증액(전체 보조금에서 시군구보조금 비율증액) </t>
    <phoneticPr fontId="2" type="noConversion"/>
  </si>
  <si>
    <t>이용인원 예상대비 감액</t>
    <phoneticPr fontId="2" type="noConversion"/>
  </si>
  <si>
    <t>이용아동증액</t>
    <phoneticPr fontId="2" type="noConversion"/>
  </si>
  <si>
    <t>조리실 기자재 구입</t>
    <phoneticPr fontId="2" type="noConversion"/>
  </si>
  <si>
    <t>위기긴급지원사업 증액</t>
    <phoneticPr fontId="2" type="noConversion"/>
  </si>
  <si>
    <t>가정문해결치료사업비, 정서서비스사업비 추가 편성에 따른 증액</t>
    <phoneticPr fontId="2" type="noConversion"/>
  </si>
  <si>
    <t>지역축제 미실시에 따른 감액</t>
    <phoneticPr fontId="2" type="noConversion"/>
  </si>
  <si>
    <t>유료교육문화 프로그램 수강료 환불 등 추가 편성에 따른 증액</t>
    <phoneticPr fontId="2" type="noConversion"/>
  </si>
  <si>
    <t>후원금 증액</t>
    <phoneticPr fontId="2" type="noConversion"/>
  </si>
  <si>
    <t>부산Y 차입금, 12월말 차입금상환</t>
    <phoneticPr fontId="2" type="noConversion"/>
  </si>
  <si>
    <t>기관부담 4대사회보험료 감액</t>
    <phoneticPr fontId="2" type="noConversion"/>
  </si>
  <si>
    <t>미발생으로 인한 감액</t>
    <phoneticPr fontId="2" type="noConversion"/>
  </si>
  <si>
    <t xml:space="preserve">후원금 증가로 인한 차년도 이월금 증액 </t>
    <phoneticPr fontId="2" type="noConversion"/>
  </si>
  <si>
    <t>예산대비 집행율(%)</t>
    <phoneticPr fontId="2" type="noConversion"/>
  </si>
  <si>
    <t> 2024년도 본부사무국 예산(안)</t>
    <phoneticPr fontId="3" type="noConversion"/>
  </si>
  <si>
    <t xml:space="preserve">2024년 강서구지역자활센터(장기요양사업) 예산(안) </t>
    <phoneticPr fontId="2" type="noConversion"/>
  </si>
  <si>
    <t xml:space="preserve">냉난방기, 프린터 등 운영비품 구입 </t>
    <phoneticPr fontId="2" type="noConversion"/>
  </si>
  <si>
    <t>공공요금, 우편물 발송 및 배상책임, 상해, 화재 보험 등</t>
    <phoneticPr fontId="2" type="noConversion"/>
  </si>
  <si>
    <t>시설개선비</t>
    <phoneticPr fontId="2" type="noConversion"/>
  </si>
  <si>
    <t xml:space="preserve">프로그램 사업 관련 교육비, 이용자 명절선물 등 </t>
    <phoneticPr fontId="2" type="noConversion"/>
  </si>
  <si>
    <t>2024년 결산
(3월~11월)</t>
    <phoneticPr fontId="2" type="noConversion"/>
  </si>
  <si>
    <t>원아수 46명 /영아2명 입소로 인한 
정보지원보육료증가</t>
  </si>
  <si>
    <t>수익자부담경비 특별활동비 감소</t>
  </si>
  <si>
    <t>수익자부담경비현장학습비 감소</t>
  </si>
  <si>
    <t>연장보육료</t>
    <phoneticPr fontId="3" type="noConversion"/>
  </si>
  <si>
    <t>부산시 애중중지보육사업
유아반 특별활동, 현장학습비/5세누리과정보육료 증가</t>
    <phoneticPr fontId="2" type="noConversion"/>
  </si>
  <si>
    <t>1년미만 퇴직자 퇴직적립금 증가</t>
    <phoneticPr fontId="2" type="noConversion"/>
  </si>
  <si>
    <t>전년도 이월액 증가</t>
    <phoneticPr fontId="2" type="noConversion"/>
  </si>
  <si>
    <t>2024년 결산
(3월~11월)</t>
    <phoneticPr fontId="2" type="noConversion"/>
  </si>
  <si>
    <t>합 계</t>
    <phoneticPr fontId="2" type="noConversion"/>
  </si>
  <si>
    <t>합 계</t>
    <phoneticPr fontId="2" type="noConversion"/>
  </si>
  <si>
    <t>합 계</t>
    <phoneticPr fontId="2" type="noConversion"/>
  </si>
  <si>
    <t>합 계</t>
    <phoneticPr fontId="2" type="noConversion"/>
  </si>
  <si>
    <t>합 계</t>
    <phoneticPr fontId="2" type="noConversion"/>
  </si>
  <si>
    <t>0세반교사 1명 채용</t>
  </si>
  <si>
    <t>보육교직원 근속수당 증가</t>
  </si>
  <si>
    <t>수익자부담경비 계정→수용비수수료계정으로 
변경</t>
  </si>
  <si>
    <t>수익자부담경비 현장학습비 감소</t>
  </si>
  <si>
    <t>급간식비 증가</t>
  </si>
  <si>
    <t>0세반 사물함,기저귀대 영아의자 구입</t>
  </si>
  <si>
    <t>합 계</t>
    <phoneticPr fontId="2" type="noConversion"/>
  </si>
  <si>
    <t>합 계</t>
    <phoneticPr fontId="3" type="noConversion"/>
  </si>
  <si>
    <t xml:space="preserve">2024년 은학의집 재가복지 예산(안) </t>
    <phoneticPr fontId="2" type="noConversion"/>
  </si>
  <si>
    <t>합 계</t>
    <phoneticPr fontId="2" type="noConversion"/>
  </si>
  <si>
    <t>합 계</t>
    <phoneticPr fontId="2" type="noConversion"/>
  </si>
  <si>
    <t>합 계</t>
    <phoneticPr fontId="2" type="noConversion"/>
  </si>
  <si>
    <t>총 계</t>
    <phoneticPr fontId="2" type="noConversion"/>
  </si>
  <si>
    <t>소 계</t>
    <phoneticPr fontId="2" type="noConversion"/>
  </si>
  <si>
    <t>소 계</t>
    <phoneticPr fontId="2" type="noConversion"/>
  </si>
  <si>
    <t xml:space="preserve">2024년 은학의집 재가복지 예산(안) </t>
    <phoneticPr fontId="2" type="noConversion"/>
  </si>
  <si>
    <t>소 계</t>
    <phoneticPr fontId="2" type="noConversion"/>
  </si>
  <si>
    <t>소 계</t>
    <phoneticPr fontId="2" type="noConversion"/>
  </si>
  <si>
    <t>소 계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</si>
  <si>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391,642,940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예산 총액 </t>
    </r>
    <r>
      <rPr>
        <b/>
        <u/>
        <sz val="12"/>
        <color theme="1"/>
        <rFont val="맑은 고딕"/>
        <family val="3"/>
        <charset val="129"/>
      </rPr>
      <t>406,569,642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3.7% 감소</t>
    </r>
    <phoneticPr fontId="2" type="noConversion"/>
  </si>
  <si>
    <t>2023년 보조금 반납</t>
    <phoneticPr fontId="2" type="noConversion"/>
  </si>
  <si>
    <t>보조금 ,후원금 예금이자수입  감액</t>
    <phoneticPr fontId="2" type="noConversion"/>
  </si>
  <si>
    <t xml:space="preserve">기관 사회보험부담금 증가로 인한 증액 </t>
    <phoneticPr fontId="2" type="noConversion"/>
  </si>
  <si>
    <t>전기요금 및 도시가스요금 증가로 인한 증액</t>
    <phoneticPr fontId="2" type="noConversion"/>
  </si>
  <si>
    <t xml:space="preserve">방제비 감소로 인한 감액 </t>
    <phoneticPr fontId="2" type="noConversion"/>
  </si>
  <si>
    <t>비지정후원금 감소로 인한 280,902 감액</t>
    <phoneticPr fontId="2" type="noConversion"/>
  </si>
  <si>
    <t>보조금 생계비용 감소로 인한 감액</t>
    <phoneticPr fontId="2" type="noConversion"/>
  </si>
  <si>
    <t>입소자생활관련 소모품구입 증가로 인한 증액</t>
    <phoneticPr fontId="2" type="noConversion"/>
  </si>
  <si>
    <t>입소자 일반의료비 감소로 인한 감액</t>
    <phoneticPr fontId="2" type="noConversion"/>
  </si>
  <si>
    <t>법률지원 감소로 인한 감액</t>
    <phoneticPr fontId="2" type="noConversion"/>
  </si>
  <si>
    <t>건강검진비용 및 입원비 지원 감소로 인한 감액</t>
    <phoneticPr fontId="2" type="noConversion"/>
  </si>
  <si>
    <t>검정고시등 교육지원 감소로 인한 감액</t>
    <phoneticPr fontId="2" type="noConversion"/>
  </si>
  <si>
    <t>겨울심신회복 프로그램, 공예프로그램 추가로 인한 증액</t>
    <phoneticPr fontId="2" type="noConversion"/>
  </si>
  <si>
    <t>바리스타,컴퓨터활용능력 등 직업관련교육 증가로 인한 증액</t>
    <phoneticPr fontId="2" type="noConversion"/>
  </si>
  <si>
    <t>2023년 보조금반환금 및 2024년 이자수입 8,000원</t>
    <phoneticPr fontId="2" type="noConversion"/>
  </si>
  <si>
    <t>01 재산수입</t>
    <phoneticPr fontId="2" type="noConversion"/>
  </si>
  <si>
    <t>01 재산수입</t>
    <phoneticPr fontId="2" type="noConversion"/>
  </si>
  <si>
    <t>11 기본재산수입</t>
    <phoneticPr fontId="2" type="noConversion"/>
  </si>
  <si>
    <t>112 이자수입</t>
    <phoneticPr fontId="2" type="noConversion"/>
  </si>
  <si>
    <t>112 이자수입</t>
    <phoneticPr fontId="2" type="noConversion"/>
  </si>
  <si>
    <t>합   계</t>
    <phoneticPr fontId="2" type="noConversion"/>
  </si>
  <si>
    <t>합   계</t>
    <phoneticPr fontId="2" type="noConversion"/>
  </si>
  <si>
    <t>02 사업수입</t>
    <phoneticPr fontId="2" type="noConversion"/>
  </si>
  <si>
    <t>21 사업수입</t>
    <phoneticPr fontId="2" type="noConversion"/>
  </si>
  <si>
    <t>05 후원금 수입</t>
    <phoneticPr fontId="2" type="noConversion"/>
  </si>
  <si>
    <t>05 후원금 수입</t>
    <phoneticPr fontId="2" type="noConversion"/>
  </si>
  <si>
    <t>51 후원금 수입</t>
    <phoneticPr fontId="3" type="noConversion"/>
  </si>
  <si>
    <t>51 후원금 수입</t>
    <phoneticPr fontId="3" type="noConversion"/>
  </si>
  <si>
    <t>511 지정후원금</t>
    <phoneticPr fontId="3" type="noConversion"/>
  </si>
  <si>
    <t>512 비지정후원금</t>
    <phoneticPr fontId="3" type="noConversion"/>
  </si>
  <si>
    <t>512 비지정후원금</t>
    <phoneticPr fontId="3" type="noConversion"/>
  </si>
  <si>
    <t>합   계</t>
    <phoneticPr fontId="2" type="noConversion"/>
  </si>
  <si>
    <t>08 이월금</t>
    <phoneticPr fontId="2" type="noConversion"/>
  </si>
  <si>
    <t>81 이월금</t>
    <phoneticPr fontId="2" type="noConversion"/>
  </si>
  <si>
    <t>81 이월금</t>
    <phoneticPr fontId="2" type="noConversion"/>
  </si>
  <si>
    <t>811 전년도이월금</t>
    <phoneticPr fontId="2" type="noConversion"/>
  </si>
  <si>
    <t>811 전년도이월금</t>
    <phoneticPr fontId="2" type="noConversion"/>
  </si>
  <si>
    <t>812 전년도이월금(후원금)</t>
    <phoneticPr fontId="3" type="noConversion"/>
  </si>
  <si>
    <t>합   계</t>
    <phoneticPr fontId="2" type="noConversion"/>
  </si>
  <si>
    <t>09 잡수입</t>
    <phoneticPr fontId="2" type="noConversion"/>
  </si>
  <si>
    <t>91 잡수입</t>
    <phoneticPr fontId="2" type="noConversion"/>
  </si>
  <si>
    <t>912 기타예금이자수입</t>
    <phoneticPr fontId="2" type="noConversion"/>
  </si>
  <si>
    <t>913 기타잡수입</t>
    <phoneticPr fontId="2" type="noConversion"/>
  </si>
  <si>
    <t>합   계</t>
    <phoneticPr fontId="2" type="noConversion"/>
  </si>
  <si>
    <t>07 전입금</t>
    <phoneticPr fontId="2" type="noConversion"/>
  </si>
  <si>
    <t>71 전입금</t>
    <phoneticPr fontId="2" type="noConversion"/>
  </si>
  <si>
    <t>01 사무비</t>
    <phoneticPr fontId="2" type="noConversion"/>
  </si>
  <si>
    <t>01 사무비</t>
    <phoneticPr fontId="2" type="noConversion"/>
  </si>
  <si>
    <t>11 인건비</t>
    <phoneticPr fontId="2" type="noConversion"/>
  </si>
  <si>
    <t>111 급여</t>
    <phoneticPr fontId="2" type="noConversion"/>
  </si>
  <si>
    <t>115 퇴직금 및 퇴직적립금</t>
    <phoneticPr fontId="2" type="noConversion"/>
  </si>
  <si>
    <t>115 퇴직금 및 퇴직적립금</t>
    <phoneticPr fontId="2" type="noConversion"/>
  </si>
  <si>
    <t>116 사회보험 부담금</t>
    <phoneticPr fontId="2" type="noConversion"/>
  </si>
  <si>
    <t>116 사회보험 부담금</t>
    <phoneticPr fontId="2" type="noConversion"/>
  </si>
  <si>
    <t>117 기타후생경비</t>
    <phoneticPr fontId="2" type="noConversion"/>
  </si>
  <si>
    <t>117 기타후생경비</t>
    <phoneticPr fontId="2" type="noConversion"/>
  </si>
  <si>
    <t>12 업무추진비</t>
    <phoneticPr fontId="2" type="noConversion"/>
  </si>
  <si>
    <t>121 기관운영비</t>
    <phoneticPr fontId="2" type="noConversion"/>
  </si>
  <si>
    <t>123 회의비</t>
    <phoneticPr fontId="2" type="noConversion"/>
  </si>
  <si>
    <t>13 운영비</t>
    <phoneticPr fontId="2" type="noConversion"/>
  </si>
  <si>
    <t>13 운영비</t>
    <phoneticPr fontId="2" type="noConversion"/>
  </si>
  <si>
    <t>131 여비</t>
    <phoneticPr fontId="2" type="noConversion"/>
  </si>
  <si>
    <t>131 여비</t>
    <phoneticPr fontId="2" type="noConversion"/>
  </si>
  <si>
    <t>132 수용비및수수료</t>
    <phoneticPr fontId="2" type="noConversion"/>
  </si>
  <si>
    <t>133 공공요금</t>
    <phoneticPr fontId="2" type="noConversion"/>
  </si>
  <si>
    <t>134 제세공과금</t>
    <phoneticPr fontId="2" type="noConversion"/>
  </si>
  <si>
    <t>134 제세공과금</t>
    <phoneticPr fontId="2" type="noConversion"/>
  </si>
  <si>
    <t>135 기타운영비</t>
    <phoneticPr fontId="3" type="noConversion"/>
  </si>
  <si>
    <t>04 전출금</t>
    <phoneticPr fontId="2" type="noConversion"/>
  </si>
  <si>
    <t>41 전출금</t>
    <phoneticPr fontId="2" type="noConversion"/>
  </si>
  <si>
    <t>41 전출금</t>
    <phoneticPr fontId="2" type="noConversion"/>
  </si>
  <si>
    <t>411 서울지부전출금</t>
    <phoneticPr fontId="2" type="noConversion"/>
  </si>
  <si>
    <t>412 부산지부전출금</t>
    <phoneticPr fontId="2" type="noConversion"/>
  </si>
  <si>
    <t>합   계</t>
    <phoneticPr fontId="2" type="noConversion"/>
  </si>
  <si>
    <t>07 잡지출</t>
    <phoneticPr fontId="2" type="noConversion"/>
  </si>
  <si>
    <t>71 잡지출</t>
    <phoneticPr fontId="2" type="noConversion"/>
  </si>
  <si>
    <t>711 잡지출</t>
    <phoneticPr fontId="2" type="noConversion"/>
  </si>
  <si>
    <t>08 예비비</t>
    <phoneticPr fontId="2" type="noConversion"/>
  </si>
  <si>
    <t>81 예비비 및 기타</t>
    <phoneticPr fontId="2" type="noConversion"/>
  </si>
  <si>
    <t>811 예비비</t>
    <phoneticPr fontId="2" type="noConversion"/>
  </si>
  <si>
    <t>합   계</t>
    <phoneticPr fontId="2" type="noConversion"/>
  </si>
  <si>
    <t>금월이월금</t>
    <phoneticPr fontId="2" type="noConversion"/>
  </si>
  <si>
    <t>합  계</t>
    <phoneticPr fontId="2" type="noConversion"/>
  </si>
  <si>
    <t>합  계</t>
    <phoneticPr fontId="2" type="noConversion"/>
  </si>
  <si>
    <t>11 기본재산수입</t>
    <phoneticPr fontId="2" type="noConversion"/>
  </si>
  <si>
    <t>02 사업수입</t>
    <phoneticPr fontId="2" type="noConversion"/>
  </si>
  <si>
    <t>21 사업수입</t>
    <phoneticPr fontId="2" type="noConversion"/>
  </si>
  <si>
    <t>합   계</t>
    <phoneticPr fontId="2" type="noConversion"/>
  </si>
  <si>
    <t>08 이월금</t>
    <phoneticPr fontId="2" type="noConversion"/>
  </si>
  <si>
    <t>81 이월금</t>
    <phoneticPr fontId="2" type="noConversion"/>
  </si>
  <si>
    <t>811 전년도이월금</t>
    <phoneticPr fontId="2" type="noConversion"/>
  </si>
  <si>
    <t>812 전년도이월금(후원금)</t>
    <phoneticPr fontId="3" type="noConversion"/>
  </si>
  <si>
    <t>합   계</t>
    <phoneticPr fontId="2" type="noConversion"/>
  </si>
  <si>
    <t>기타예금이자수입, 후원금 1,000원</t>
    <phoneticPr fontId="2" type="noConversion"/>
  </si>
  <si>
    <t>09 잡수입</t>
    <phoneticPr fontId="2" type="noConversion"/>
  </si>
  <si>
    <t>91 잡수입</t>
    <phoneticPr fontId="2" type="noConversion"/>
  </si>
  <si>
    <t>912 기타예금이자수입</t>
    <phoneticPr fontId="2" type="noConversion"/>
  </si>
  <si>
    <t>913 기타잡수입</t>
    <phoneticPr fontId="2" type="noConversion"/>
  </si>
  <si>
    <t>11 인건비</t>
    <phoneticPr fontId="2" type="noConversion"/>
  </si>
  <si>
    <t>12 업무추진비</t>
    <phoneticPr fontId="2" type="noConversion"/>
  </si>
  <si>
    <t>123 회의비</t>
    <phoneticPr fontId="2" type="noConversion"/>
  </si>
  <si>
    <t>133 공공요금</t>
    <phoneticPr fontId="2" type="noConversion"/>
  </si>
  <si>
    <t>04 전출금</t>
    <phoneticPr fontId="2" type="noConversion"/>
  </si>
  <si>
    <t>411 서울지부전출금</t>
    <phoneticPr fontId="2" type="noConversion"/>
  </si>
  <si>
    <t>가족수당 실지급액 감소로 인한 감액</t>
    <phoneticPr fontId="2" type="noConversion"/>
  </si>
  <si>
    <t xml:space="preserve">관외 출장여비(교육 연수 및 워크숍) 등 증가로 인한 증액 </t>
    <phoneticPr fontId="2" type="noConversion"/>
  </si>
  <si>
    <t>자산취득으로 상정된 CCTV설치 비용을 시설장비 유지비로 전용하여 감액</t>
    <phoneticPr fontId="2" type="noConversion"/>
  </si>
  <si>
    <t>07 잡지출</t>
    <phoneticPr fontId="2" type="noConversion"/>
  </si>
  <si>
    <t>711 잡지출</t>
    <phoneticPr fontId="2" type="noConversion"/>
  </si>
  <si>
    <t>08 예비비</t>
    <phoneticPr fontId="2" type="noConversion"/>
  </si>
  <si>
    <t>811 예비비</t>
    <phoneticPr fontId="2" type="noConversion"/>
  </si>
  <si>
    <t>금월이월금</t>
    <phoneticPr fontId="2" type="noConversion"/>
  </si>
  <si>
    <t>합  계</t>
    <phoneticPr fontId="2" type="noConversion"/>
  </si>
  <si>
    <t>금월잔액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</si>
  <si>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9,800,000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예산 총액 </t>
    </r>
    <r>
      <rPr>
        <b/>
        <u/>
        <sz val="12"/>
        <color theme="1"/>
        <rFont val="맑은 고딕"/>
        <family val="3"/>
        <charset val="129"/>
      </rPr>
      <t>10,200,000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3.9% 감소</t>
    </r>
    <phoneticPr fontId="2" type="noConversion"/>
  </si>
  <si>
    <t>112 이자수입</t>
    <phoneticPr fontId="2" type="noConversion"/>
  </si>
  <si>
    <t>합   계</t>
    <phoneticPr fontId="2" type="noConversion"/>
  </si>
  <si>
    <t>511 지정후원금</t>
    <phoneticPr fontId="3" type="noConversion"/>
  </si>
  <si>
    <t>07 전입금</t>
    <phoneticPr fontId="2" type="noConversion"/>
  </si>
  <si>
    <t>71 전입금</t>
    <phoneticPr fontId="2" type="noConversion"/>
  </si>
  <si>
    <t>기타예금이자 및 후원금 이자 3,204원</t>
    <phoneticPr fontId="2" type="noConversion"/>
  </si>
  <si>
    <t>111 급여</t>
    <phoneticPr fontId="2" type="noConversion"/>
  </si>
  <si>
    <t>132 수용비및수수료</t>
    <phoneticPr fontId="2" type="noConversion"/>
  </si>
  <si>
    <t>133 공공요금</t>
    <phoneticPr fontId="2" type="noConversion"/>
  </si>
  <si>
    <t>411 서울지부전출금</t>
    <phoneticPr fontId="2" type="noConversion"/>
  </si>
  <si>
    <t>412 부산지부전출금</t>
    <phoneticPr fontId="2" type="noConversion"/>
  </si>
  <si>
    <t>07 잡지출</t>
    <phoneticPr fontId="2" type="noConversion"/>
  </si>
  <si>
    <t>71 잡지출</t>
    <phoneticPr fontId="2" type="noConversion"/>
  </si>
  <si>
    <t>08 예비비</t>
    <phoneticPr fontId="2" type="noConversion"/>
  </si>
  <si>
    <t>811 예비비</t>
    <phoneticPr fontId="2" type="noConversion"/>
  </si>
  <si>
    <t>&lt;세 출&gt;                                                                                                                                                                                                       (단위: 원)</t>
    <phoneticPr fontId="3" type="noConversion"/>
  </si>
  <si>
    <t>01 재산수입</t>
    <phoneticPr fontId="2" type="noConversion"/>
  </si>
  <si>
    <t>112 이자수입</t>
    <phoneticPr fontId="2" type="noConversion"/>
  </si>
  <si>
    <t>합   계</t>
    <phoneticPr fontId="2" type="noConversion"/>
  </si>
  <si>
    <t>05 후원금 수입</t>
    <phoneticPr fontId="2" type="noConversion"/>
  </si>
  <si>
    <t>08 이월금</t>
    <phoneticPr fontId="2" type="noConversion"/>
  </si>
  <si>
    <t>81 이월금</t>
    <phoneticPr fontId="2" type="noConversion"/>
  </si>
  <si>
    <t>811 전년도이월금</t>
    <phoneticPr fontId="2" type="noConversion"/>
  </si>
  <si>
    <t>812 전년도이월금(후원금)</t>
    <phoneticPr fontId="3" type="noConversion"/>
  </si>
  <si>
    <t>합   계</t>
    <phoneticPr fontId="2" type="noConversion"/>
  </si>
  <si>
    <t>09 잡수입</t>
    <phoneticPr fontId="2" type="noConversion"/>
  </si>
  <si>
    <t>912 기타예금이자수입</t>
    <phoneticPr fontId="2" type="noConversion"/>
  </si>
  <si>
    <t>07 전입금</t>
    <phoneticPr fontId="2" type="noConversion"/>
  </si>
  <si>
    <t>01 사무비</t>
    <phoneticPr fontId="2" type="noConversion"/>
  </si>
  <si>
    <t>111 급여</t>
    <phoneticPr fontId="2" type="noConversion"/>
  </si>
  <si>
    <t>115 퇴직금 및 퇴직적립금</t>
    <phoneticPr fontId="2" type="noConversion"/>
  </si>
  <si>
    <t>116 사회보험 부담금</t>
    <phoneticPr fontId="2" type="noConversion"/>
  </si>
  <si>
    <t>117 기타후생경비</t>
    <phoneticPr fontId="2" type="noConversion"/>
  </si>
  <si>
    <t>12 업무추진비</t>
    <phoneticPr fontId="2" type="noConversion"/>
  </si>
  <si>
    <t>121 기관운영비</t>
    <phoneticPr fontId="2" type="noConversion"/>
  </si>
  <si>
    <t>123 회의비</t>
    <phoneticPr fontId="2" type="noConversion"/>
  </si>
  <si>
    <t>합   계</t>
    <phoneticPr fontId="2" type="noConversion"/>
  </si>
  <si>
    <t>13 운영비</t>
    <phoneticPr fontId="2" type="noConversion"/>
  </si>
  <si>
    <t>131 여비</t>
    <phoneticPr fontId="2" type="noConversion"/>
  </si>
  <si>
    <t>132 수용비및수수료</t>
    <phoneticPr fontId="2" type="noConversion"/>
  </si>
  <si>
    <t>133 공공요금</t>
    <phoneticPr fontId="2" type="noConversion"/>
  </si>
  <si>
    <t>134 제세공과금</t>
    <phoneticPr fontId="2" type="noConversion"/>
  </si>
  <si>
    <t>135 기타운영비</t>
    <phoneticPr fontId="3" type="noConversion"/>
  </si>
  <si>
    <t>04 전출금</t>
    <phoneticPr fontId="2" type="noConversion"/>
  </si>
  <si>
    <t>41 전출금</t>
    <phoneticPr fontId="2" type="noConversion"/>
  </si>
  <si>
    <t>412 부산지부전출금</t>
    <phoneticPr fontId="2" type="noConversion"/>
  </si>
  <si>
    <t>합   계</t>
    <phoneticPr fontId="2" type="noConversion"/>
  </si>
  <si>
    <t>08 예비비</t>
    <phoneticPr fontId="2" type="noConversion"/>
  </si>
  <si>
    <t>81 예비비 및 기타</t>
    <phoneticPr fontId="2" type="noConversion"/>
  </si>
  <si>
    <t>811 예비비</t>
    <phoneticPr fontId="2" type="noConversion"/>
  </si>
  <si>
    <t>금월잔액</t>
    <phoneticPr fontId="2" type="noConversion"/>
  </si>
  <si>
    <t>(단위 : 원)</t>
    <phoneticPr fontId="2" type="noConversion"/>
  </si>
  <si>
    <t>합 계</t>
    <phoneticPr fontId="2" type="noConversion"/>
  </si>
  <si>
    <t>합 계</t>
    <phoneticPr fontId="2" type="noConversion"/>
  </si>
  <si>
    <t>2024년 결산
(1월~11월)</t>
    <phoneticPr fontId="2" type="noConversion"/>
  </si>
  <si>
    <t>합 계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</si>
  <si>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</si>
  <si>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</si>
  <si>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</si>
  <si>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2024년 은학의집 추경예산(안) 총괄</t>
    <phoneticPr fontId="2" type="noConversion"/>
  </si>
  <si>
    <t>합  계</t>
    <phoneticPr fontId="0" type="Hiragana"/>
  </si>
  <si>
    <t>총  계</t>
    <phoneticPr fontId="2" type="noConversion"/>
  </si>
  <si>
    <t>합  계</t>
    <phoneticPr fontId="2" type="noConversion"/>
  </si>
  <si>
    <t>합  계</t>
    <phoneticPr fontId="2" type="noConversion"/>
  </si>
  <si>
    <t>총  계</t>
    <phoneticPr fontId="2" type="noConversion"/>
  </si>
  <si>
    <t>총  계</t>
    <phoneticPr fontId="2" type="noConversion"/>
  </si>
  <si>
    <t>합  계</t>
    <phoneticPr fontId="2" type="noConversion"/>
  </si>
  <si>
    <t xml:space="preserve">생계비 보조금 감소에 따른 감액 </t>
    <phoneticPr fontId="2" type="noConversion"/>
  </si>
  <si>
    <t xml:space="preserve">공동모금회 감소에 따른 감액 </t>
    <phoneticPr fontId="2" type="noConversion"/>
  </si>
  <si>
    <t xml:space="preserve">후원금 감소에 따른 감액 </t>
    <phoneticPr fontId="2" type="noConversion"/>
  </si>
  <si>
    <t>합 계</t>
    <phoneticPr fontId="2" type="noConversion"/>
  </si>
  <si>
    <t>총  계</t>
    <phoneticPr fontId="2" type="noConversion"/>
  </si>
  <si>
    <t xml:space="preserve">복지관 으뜸교실 수강료 감소에 따른 감액 </t>
    <phoneticPr fontId="2" type="noConversion"/>
  </si>
  <si>
    <t xml:space="preserve">바우처 아동감소에 따른 바우처수입 감소에 따른 감액 </t>
    <phoneticPr fontId="49" type="noConversion"/>
  </si>
  <si>
    <t>복지관: 인건비보조금 감액에 따른 감소
재가노인: 운영비보조금 감액에 따른 감소
지역아동: 기본운영비등 보조금 지원 감소
자원봉사: 코디네이터인건비보조금 감소</t>
    <phoneticPr fontId="2" type="noConversion"/>
  </si>
  <si>
    <t xml:space="preserve">지역아동: 급식비보조금 감소에 따른 감액 </t>
    <phoneticPr fontId="2" type="noConversion"/>
  </si>
  <si>
    <t xml:space="preserve">복지관 정기후원 및 일시후원금 감소에 따른 감액 </t>
    <phoneticPr fontId="2" type="noConversion"/>
  </si>
  <si>
    <t xml:space="preserve">복지관과 심리치유 예금이자 감소에 따른 감액 </t>
    <phoneticPr fontId="2" type="noConversion"/>
  </si>
  <si>
    <t xml:space="preserve">복지관 일경험사업 인턴형지원금 등 잡수입 증가에 따른 감액  </t>
    <phoneticPr fontId="2" type="noConversion"/>
  </si>
  <si>
    <t xml:space="preserve">자원봉사활성화프로그램 등 사업비 감소에 따른 감액 </t>
    <phoneticPr fontId="2" type="noConversion"/>
  </si>
  <si>
    <t xml:space="preserve">자원봉사센터 에어컨 구입금액 감소에 따른 감액 </t>
    <phoneticPr fontId="2" type="noConversion"/>
  </si>
  <si>
    <t xml:space="preserve">복지관 소방시설 수리비 감소에 따른 감액 </t>
    <phoneticPr fontId="2" type="noConversion"/>
  </si>
  <si>
    <t xml:space="preserve">복지관 복지펀드지원사업 감소에 따른 감액 </t>
    <phoneticPr fontId="2" type="noConversion"/>
  </si>
  <si>
    <t xml:space="preserve">복지관 결연후원금, 명절행복나눔사업 등 서비스제공사업비 감소에 따른 감액 </t>
    <phoneticPr fontId="2" type="noConversion"/>
  </si>
  <si>
    <t xml:space="preserve">복지관 주거복지네트워크사업, 기관홍보사업 등 지역조직화사업비 감소에 따른 감액 </t>
    <phoneticPr fontId="2" type="noConversion"/>
  </si>
  <si>
    <t xml:space="preserve">재가노인센터 명절행복나눔사업, 김장나눔사업 등 사업비 감소에 따른 감액 </t>
    <phoneticPr fontId="2" type="noConversion"/>
  </si>
  <si>
    <t xml:space="preserve">지역아동센터 급식지도, 기초학습교육, 체험활동, 문화행사 등 사업비 감소에 따른 감액 </t>
    <phoneticPr fontId="2" type="noConversion"/>
  </si>
  <si>
    <t xml:space="preserve">청소년지원센테 특성화프로그램 등 사업비 감소에 따른 감액 </t>
    <phoneticPr fontId="2" type="noConversion"/>
  </si>
  <si>
    <t>복지관: 인건비보조금 반환 등 반환금 증가
재가노인: 인건비보조금 반환금 증가
지역아동: 예금이자 반환금 증가
자원봉사: 인건비보조금 반환 등 반환금 증가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</si>
  <si>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3차추경예산(안)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2,600,407,000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2차추경예산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2,690,043,000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3.3% 감소</t>
    </r>
    <phoneticPr fontId="2" type="noConversion"/>
  </si>
  <si>
    <t xml:space="preserve">복지관 러브하우스사업 등 지정후원금 감소 및 
자원봉사센터 가로수겨울옷입히기 지정후원금 감소에 따른 감액 </t>
    <phoneticPr fontId="2" type="noConversion"/>
  </si>
  <si>
    <t>지역아동: 입.퇴사에 따른 퇴직적립금액 감소
자원봉사: 입.퇴사에 따른 퇴직적립금액 감소
발달재활: 바우처아동감소에 따른 퇴직적립금액 감소
심리치유: 바우처아동감소에 따른 퇴직적립금액 감소</t>
    <phoneticPr fontId="2" type="noConversion"/>
  </si>
  <si>
    <t>재가노인: 각종수수료 증가
지역아동: 각종수수료 증가
자원봉사: 소모품 및 각종수수료 증가</t>
    <phoneticPr fontId="2" type="noConversion"/>
  </si>
  <si>
    <t>청소년지원: 전화요금 감소
발달재활: 전화요금 감소</t>
    <phoneticPr fontId="2" type="noConversion"/>
  </si>
  <si>
    <t>지역아동: 차량취득에 따른 자동차세 증가
자원봉사: 협회비등 제세공과금 증가
청소년지원: 사회보험료 증가
발달재활: 차량보험료 증가</t>
    <phoneticPr fontId="2" type="noConversion"/>
  </si>
  <si>
    <t xml:space="preserve">복지관 렌트차량 계약종료에 따른 감소에 따른 감액 </t>
    <phoneticPr fontId="2" type="noConversion"/>
  </si>
  <si>
    <t>비율(%)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</si>
  <si>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 xml:space="preserve">2024년 추경예산(안) 총액 </t>
    </r>
    <r>
      <rPr>
        <b/>
        <u/>
        <sz val="12"/>
        <color theme="1"/>
        <rFont val="맑은 고딕"/>
        <family val="3"/>
        <charset val="129"/>
      </rPr>
      <t>1,100,100,000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예산 총액 </t>
    </r>
    <r>
      <rPr>
        <b/>
        <u/>
        <sz val="12"/>
        <color theme="1"/>
        <rFont val="맑은 고딕"/>
        <family val="3"/>
        <charset val="129"/>
      </rPr>
      <t>1,100,100,000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0%</t>
    </r>
    <phoneticPr fontId="2" type="noConversion"/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</si>
  <si>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2024년 추경예산(안)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>4,649,226,012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 xml:space="preserve">2024년 예산 총액 </t>
    </r>
    <r>
      <rPr>
        <b/>
        <u/>
        <sz val="12"/>
        <color rgb="FF000000"/>
        <rFont val="맑은 고딕"/>
        <family val="3"/>
        <charset val="129"/>
      </rPr>
      <t>4,649,226,012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</t>
    </r>
    <r>
      <rPr>
        <b/>
        <sz val="12"/>
        <color rgb="FF000000"/>
        <rFont val="맑은 고딕"/>
        <family val="3"/>
        <charset val="129"/>
      </rPr>
      <t xml:space="preserve"> 0% </t>
    </r>
    <phoneticPr fontId="2" type="noConversion"/>
  </si>
  <si>
    <t>합  계</t>
    <phoneticPr fontId="2" type="noConversion"/>
  </si>
  <si>
    <t xml:space="preserve"> </t>
    <phoneticPr fontId="2" type="noConversion"/>
  </si>
  <si>
    <t>소 계</t>
    <phoneticPr fontId="2" type="noConversion"/>
  </si>
  <si>
    <t>총  계</t>
    <phoneticPr fontId="2" type="noConversion"/>
  </si>
  <si>
    <t>총  계</t>
    <phoneticPr fontId="2" type="noConversion"/>
  </si>
  <si>
    <t>임차비</t>
    <phoneticPr fontId="2" type="noConversion"/>
  </si>
  <si>
    <t>임차료</t>
    <phoneticPr fontId="2" type="noConversion"/>
  </si>
  <si>
    <t>임차료</t>
    <phoneticPr fontId="2" type="noConversion"/>
  </si>
  <si>
    <t>임차료</t>
    <phoneticPr fontId="2" type="noConversion"/>
  </si>
  <si>
    <t>&lt;세 입&gt;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</si>
  <si>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 입&gt;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</si>
  <si>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 입&gt;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</si>
  <si>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</si>
  <si>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총  계</t>
    <phoneticPr fontId="2" type="noConversion"/>
  </si>
  <si>
    <t>총  계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</si>
  <si>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</si>
  <si>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&lt;세입&gt;                     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</si>
  <si>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 출&gt;                                                                                                                                                                                                                          (단위: 원)</t>
    <phoneticPr fontId="3" type="noConversion"/>
  </si>
  <si>
    <t>2024년 결산
(1월~11월)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</si>
  <si>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 xml:space="preserve">2024년 추경예산(안) 총액 </t>
    </r>
    <r>
      <rPr>
        <b/>
        <u/>
        <sz val="12"/>
        <color theme="1"/>
        <rFont val="맑은 고딕"/>
        <family val="3"/>
        <charset val="129"/>
      </rPr>
      <t>94,383,037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예산 총액  </t>
    </r>
    <r>
      <rPr>
        <b/>
        <u/>
        <sz val="12"/>
        <color theme="1"/>
        <rFont val="맑은 고딕"/>
        <family val="3"/>
        <charset val="129"/>
      </rPr>
      <t>94,383,037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0%</t>
    </r>
    <phoneticPr fontId="2" type="noConversion"/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</si>
  <si>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2024년 추경예산(안)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>599,810,000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 xml:space="preserve">2024년 예산 총액 </t>
    </r>
    <r>
      <rPr>
        <b/>
        <u/>
        <sz val="12"/>
        <color rgb="FF000000"/>
        <rFont val="맑은 고딕"/>
        <family val="3"/>
        <charset val="129"/>
      </rPr>
      <t>538,290,000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</t>
    </r>
    <r>
      <rPr>
        <b/>
        <sz val="12"/>
        <color rgb="FF000000"/>
        <rFont val="맑은 고딕"/>
        <family val="3"/>
        <charset val="129"/>
      </rPr>
      <t xml:space="preserve"> 11.4% 증가</t>
    </r>
    <phoneticPr fontId="2" type="noConversion"/>
  </si>
  <si>
    <t>소   계</t>
    <phoneticPr fontId="2" type="noConversion"/>
  </si>
  <si>
    <t>소 계</t>
    <phoneticPr fontId="2" type="noConversion"/>
  </si>
  <si>
    <t>2024.1.1~2024.12.31</t>
    <phoneticPr fontId="2" type="noConversion"/>
  </si>
  <si>
    <t>&lt;세 출&gt;                                                                                                                                                                                                                                       (단위: 원)</t>
    <phoneticPr fontId="3" type="noConversion"/>
  </si>
  <si>
    <t>&lt;세 입&gt;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</si>
  <si>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r>
      <rPr>
        <b/>
        <sz val="13"/>
        <color theme="1"/>
        <rFont val="맑은 고딕"/>
        <family val="3"/>
        <charset val="129"/>
        <scheme val="minor"/>
      </rPr>
      <t xml:space="preserve">&lt;세 입&gt;  </t>
    </r>
    <r>
      <rPr>
        <b/>
        <sz val="11"/>
        <color theme="1"/>
        <rFont val="맑은 고딕"/>
        <family val="3"/>
        <charset val="129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/r>
    <phoneticPr fontId="2" type="noConversion"/>
  </si>
  <si>
    <t>&lt;세 출&gt;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</si>
  <si>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 출&gt;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</si>
  <si>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</si>
  <si>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</si>
  <si>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소   계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</si>
  <si>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</si>
  <si>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</si>
  <si>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 출&gt;                                                                                                                                                                                                                                  (단위: 원)</t>
    <phoneticPr fontId="3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</si>
  <si>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</si>
  <si>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 출&gt;                                                                                                                                                                                                  (단위: 원)</t>
    <phoneticPr fontId="3" type="noConversion"/>
  </si>
  <si>
    <t>후원금 증가</t>
    <phoneticPr fontId="2" type="noConversion"/>
  </si>
  <si>
    <t>전년도 이월액 증가</t>
    <phoneticPr fontId="2" type="noConversion"/>
  </si>
  <si>
    <t xml:space="preserve">생계비 감소 </t>
    <phoneticPr fontId="2" type="noConversion"/>
  </si>
  <si>
    <t>이자율 감소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</si>
</sst>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0.0%"/>
    <numFmt numFmtId="178" formatCode="#,##0_);[Red]\(#,##0\)"/>
    <numFmt numFmtId="179" formatCode="_-* #,##0_-;\-* #,##0_-;_-* &quot;-&quot;_-;_-@"/>
  </numFmts>
  <fonts count="5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u/>
      <sz val="13"/>
      <color rgb="FF000000"/>
      <name val="맑은 고딕"/>
      <family val="3"/>
      <charset val="129"/>
    </font>
    <font>
      <b/>
      <u/>
      <sz val="2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b/>
      <u/>
      <sz val="2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u/>
      <sz val="14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u/>
      <sz val="12"/>
      <color theme="1"/>
      <name val="맑은 고딕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b/>
      <u/>
      <sz val="22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u/>
      <sz val="22"/>
      <color theme="8" tint="-0.249977111117893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</font>
    <font>
      <u/>
      <sz val="14"/>
      <color theme="1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sz val="12"/>
      <name val="맑은 고딕"/>
      <family val="3"/>
      <charset val="129"/>
    </font>
    <font>
      <b/>
      <u/>
      <sz val="12"/>
      <name val="맑은 고딕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2"/>
      <charset val="129"/>
    </font>
    <font>
      <sz val="12"/>
      <color rgb="FF00000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u/>
      <sz val="12"/>
      <color rgb="FF000000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</fills>
  <borders count="1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8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41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41" fontId="13" fillId="0" borderId="0">
      <alignment vertical="center"/>
    </xf>
  </cellStyleXfs>
  <cellXfs count="156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2" borderId="0" xfId="0" applyFont="1" applyFill="1">
      <alignment vertical="center"/>
    </xf>
    <xf numFmtId="0" fontId="0" fillId="0" borderId="0" xfId="0" applyAlignment="1">
      <alignment vertical="center" wrapText="1"/>
    </xf>
    <xf numFmtId="41" fontId="13" fillId="3" borderId="1" xfId="5" applyNumberFormat="1" applyFont="1" applyFill="1" applyBorder="1" applyAlignment="1">
      <alignment horizontal="right" vertical="center" wrapText="1"/>
    </xf>
    <xf numFmtId="176" fontId="13" fillId="3" borderId="2" xfId="5" applyNumberFormat="1" applyFont="1" applyFill="1" applyBorder="1" applyAlignment="1">
      <alignment horizontal="right" vertical="center" wrapText="1"/>
    </xf>
    <xf numFmtId="41" fontId="13" fillId="3" borderId="2" xfId="5" applyNumberFormat="1" applyFont="1" applyFill="1" applyBorder="1" applyAlignment="1">
      <alignment horizontal="right" vertical="center" wrapText="1"/>
    </xf>
    <xf numFmtId="41" fontId="13" fillId="0" borderId="1" xfId="5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1" fontId="13" fillId="0" borderId="63" xfId="5" applyNumberFormat="1" applyFont="1" applyFill="1" applyBorder="1" applyAlignment="1">
      <alignment horizontal="right" vertical="center" wrapText="1"/>
    </xf>
    <xf numFmtId="176" fontId="13" fillId="0" borderId="28" xfId="1" applyNumberFormat="1" applyFont="1" applyFill="1" applyBorder="1" applyAlignment="1">
      <alignment horizontal="right" vertical="center" wrapText="1"/>
    </xf>
    <xf numFmtId="176" fontId="18" fillId="0" borderId="29" xfId="1" applyNumberFormat="1" applyFont="1" applyFill="1" applyBorder="1" applyAlignment="1">
      <alignment horizontal="right" vertical="center" wrapText="1"/>
    </xf>
    <xf numFmtId="176" fontId="13" fillId="3" borderId="63" xfId="4" applyNumberFormat="1" applyFont="1" applyFill="1" applyBorder="1" applyAlignment="1">
      <alignment horizontal="right" vertical="center" wrapText="1"/>
    </xf>
    <xf numFmtId="176" fontId="13" fillId="3" borderId="63" xfId="5" applyNumberFormat="1" applyFont="1" applyFill="1" applyBorder="1" applyAlignment="1">
      <alignment horizontal="right" vertical="center" wrapText="1"/>
    </xf>
    <xf numFmtId="176" fontId="13" fillId="3" borderId="64" xfId="5" applyNumberFormat="1" applyFont="1" applyFill="1" applyBorder="1" applyAlignment="1">
      <alignment horizontal="right" vertical="center" wrapText="1"/>
    </xf>
    <xf numFmtId="41" fontId="13" fillId="3" borderId="63" xfId="4" applyNumberFormat="1" applyFont="1" applyFill="1" applyBorder="1" applyAlignment="1">
      <alignment horizontal="right" vertical="center" wrapText="1"/>
    </xf>
    <xf numFmtId="41" fontId="13" fillId="3" borderId="63" xfId="5" applyNumberFormat="1" applyFont="1" applyFill="1" applyBorder="1" applyAlignment="1">
      <alignment horizontal="right" vertical="center" wrapText="1"/>
    </xf>
    <xf numFmtId="176" fontId="18" fillId="2" borderId="64" xfId="5" applyNumberFormat="1" applyFont="1" applyFill="1" applyBorder="1" applyAlignment="1">
      <alignment horizontal="right" vertical="center" wrapText="1"/>
    </xf>
    <xf numFmtId="176" fontId="18" fillId="2" borderId="71" xfId="5" applyNumberFormat="1" applyFont="1" applyFill="1" applyBorder="1" applyAlignment="1">
      <alignment horizontal="right" vertical="center" wrapText="1"/>
    </xf>
    <xf numFmtId="41" fontId="13" fillId="2" borderId="70" xfId="4" applyNumberFormat="1" applyFont="1" applyFill="1" applyBorder="1" applyAlignment="1">
      <alignment horizontal="right" vertical="center" wrapText="1"/>
    </xf>
    <xf numFmtId="176" fontId="13" fillId="0" borderId="63" xfId="5" applyNumberFormat="1" applyFont="1" applyFill="1" applyBorder="1" applyAlignment="1">
      <alignment horizontal="right" vertical="center" wrapText="1"/>
    </xf>
    <xf numFmtId="176" fontId="18" fillId="2" borderId="2" xfId="5" applyNumberFormat="1" applyFont="1" applyFill="1" applyBorder="1" applyAlignment="1">
      <alignment horizontal="right" vertical="center" wrapText="1"/>
    </xf>
    <xf numFmtId="41" fontId="13" fillId="0" borderId="1" xfId="4" applyNumberFormat="1" applyFont="1" applyFill="1" applyBorder="1" applyAlignment="1">
      <alignment horizontal="right" vertical="center" wrapText="1"/>
    </xf>
    <xf numFmtId="176" fontId="13" fillId="3" borderId="70" xfId="4" applyNumberFormat="1" applyFont="1" applyFill="1" applyBorder="1" applyAlignment="1">
      <alignment horizontal="right" vertical="center" wrapText="1"/>
    </xf>
    <xf numFmtId="176" fontId="13" fillId="3" borderId="71" xfId="5" applyNumberFormat="1" applyFont="1" applyFill="1" applyBorder="1" applyAlignment="1">
      <alignment horizontal="right" vertical="center" wrapText="1"/>
    </xf>
    <xf numFmtId="176" fontId="13" fillId="2" borderId="73" xfId="4" applyNumberFormat="1" applyFont="1" applyFill="1" applyBorder="1" applyAlignment="1">
      <alignment horizontal="right" vertical="center" wrapText="1"/>
    </xf>
    <xf numFmtId="176" fontId="18" fillId="2" borderId="70" xfId="4" applyNumberFormat="1" applyFont="1" applyFill="1" applyBorder="1" applyAlignment="1">
      <alignment horizontal="right" vertical="center" wrapText="1"/>
    </xf>
    <xf numFmtId="176" fontId="13" fillId="2" borderId="1" xfId="5" applyNumberFormat="1" applyFont="1" applyFill="1" applyBorder="1" applyAlignment="1">
      <alignment horizontal="right" vertical="center" wrapText="1"/>
    </xf>
    <xf numFmtId="176" fontId="13" fillId="2" borderId="2" xfId="5" applyNumberFormat="1" applyFont="1" applyFill="1" applyBorder="1" applyAlignment="1">
      <alignment horizontal="right" vertical="center" wrapText="1"/>
    </xf>
    <xf numFmtId="41" fontId="13" fillId="2" borderId="1" xfId="4" applyNumberFormat="1" applyFont="1" applyFill="1" applyBorder="1" applyAlignment="1">
      <alignment horizontal="right" vertical="center" wrapText="1"/>
    </xf>
    <xf numFmtId="41" fontId="13" fillId="3" borderId="1" xfId="4" applyNumberFormat="1" applyFont="1" applyFill="1" applyBorder="1" applyAlignment="1">
      <alignment horizontal="right" vertical="center" wrapText="1"/>
    </xf>
    <xf numFmtId="176" fontId="18" fillId="3" borderId="1" xfId="5" applyNumberFormat="1" applyFont="1" applyFill="1" applyBorder="1" applyAlignment="1">
      <alignment horizontal="right" vertical="center" wrapText="1"/>
    </xf>
    <xf numFmtId="176" fontId="7" fillId="2" borderId="28" xfId="0" applyNumberFormat="1" applyFont="1" applyFill="1" applyBorder="1" applyAlignment="1">
      <alignment horizontal="right" vertical="center"/>
    </xf>
    <xf numFmtId="41" fontId="7" fillId="2" borderId="28" xfId="0" applyNumberFormat="1" applyFont="1" applyFill="1" applyBorder="1" applyAlignment="1">
      <alignment horizontal="right" vertical="center"/>
    </xf>
    <xf numFmtId="176" fontId="7" fillId="2" borderId="29" xfId="0" applyNumberFormat="1" applyFont="1" applyFill="1" applyBorder="1" applyAlignment="1">
      <alignment horizontal="right" vertical="center"/>
    </xf>
    <xf numFmtId="176" fontId="6" fillId="2" borderId="29" xfId="0" applyNumberFormat="1" applyFont="1" applyFill="1" applyBorder="1" applyAlignment="1">
      <alignment horizontal="right" vertical="center"/>
    </xf>
    <xf numFmtId="41" fontId="7" fillId="2" borderId="29" xfId="0" applyNumberFormat="1" applyFont="1" applyFill="1" applyBorder="1" applyAlignment="1">
      <alignment horizontal="right" vertical="center"/>
    </xf>
    <xf numFmtId="41" fontId="7" fillId="2" borderId="41" xfId="0" applyNumberFormat="1" applyFont="1" applyFill="1" applyBorder="1" applyAlignment="1">
      <alignment horizontal="right" vertical="center"/>
    </xf>
    <xf numFmtId="176" fontId="6" fillId="2" borderId="42" xfId="0" applyNumberFormat="1" applyFont="1" applyFill="1" applyBorder="1" applyAlignment="1">
      <alignment horizontal="right" vertical="center"/>
    </xf>
    <xf numFmtId="176" fontId="7" fillId="2" borderId="42" xfId="0" applyNumberFormat="1" applyFont="1" applyFill="1" applyBorder="1" applyAlignment="1">
      <alignment horizontal="right" vertical="center"/>
    </xf>
    <xf numFmtId="176" fontId="7" fillId="2" borderId="43" xfId="0" applyNumberFormat="1" applyFont="1" applyFill="1" applyBorder="1" applyAlignment="1">
      <alignment horizontal="right" vertical="center"/>
    </xf>
    <xf numFmtId="176" fontId="7" fillId="2" borderId="63" xfId="0" applyNumberFormat="1" applyFont="1" applyFill="1" applyBorder="1" applyAlignment="1">
      <alignment horizontal="right" vertical="center"/>
    </xf>
    <xf numFmtId="41" fontId="24" fillId="2" borderId="63" xfId="5" applyNumberFormat="1" applyFont="1" applyFill="1" applyBorder="1" applyAlignment="1">
      <alignment horizontal="right" vertical="center" wrapText="1"/>
    </xf>
    <xf numFmtId="176" fontId="24" fillId="2" borderId="1" xfId="4" applyNumberFormat="1" applyFont="1" applyFill="1" applyBorder="1" applyAlignment="1">
      <alignment horizontal="right" vertical="center" wrapText="1"/>
    </xf>
    <xf numFmtId="176" fontId="24" fillId="2" borderId="1" xfId="5" applyNumberFormat="1" applyFont="1" applyFill="1" applyBorder="1" applyAlignment="1">
      <alignment horizontal="right" vertical="center" wrapText="1"/>
    </xf>
    <xf numFmtId="41" fontId="24" fillId="2" borderId="1" xfId="5" applyNumberFormat="1" applyFont="1" applyFill="1" applyBorder="1" applyAlignment="1">
      <alignment horizontal="right" vertical="center" wrapText="1"/>
    </xf>
    <xf numFmtId="41" fontId="24" fillId="2" borderId="2" xfId="5" applyNumberFormat="1" applyFont="1" applyFill="1" applyBorder="1" applyAlignment="1">
      <alignment horizontal="right" vertical="center" wrapText="1"/>
    </xf>
    <xf numFmtId="41" fontId="0" fillId="0" borderId="0" xfId="0" applyNumberFormat="1">
      <alignment vertical="center"/>
    </xf>
    <xf numFmtId="0" fontId="5" fillId="0" borderId="63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27" fillId="0" borderId="64" xfId="0" applyFont="1" applyBorder="1">
      <alignment vertical="center"/>
    </xf>
    <xf numFmtId="0" fontId="5" fillId="0" borderId="7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177" fontId="24" fillId="2" borderId="6" xfId="5" applyNumberFormat="1" applyFont="1" applyFill="1" applyBorder="1" applyAlignment="1">
      <alignment horizontal="right" vertical="center" wrapText="1"/>
    </xf>
    <xf numFmtId="177" fontId="1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23" fillId="2" borderId="70" xfId="4" applyNumberFormat="1" applyFont="1" applyFill="1" applyBorder="1" applyAlignment="1">
      <alignment horizontal="right" vertical="center" wrapText="1"/>
    </xf>
    <xf numFmtId="41" fontId="23" fillId="2" borderId="71" xfId="5" applyNumberFormat="1" applyFont="1" applyFill="1" applyBorder="1" applyAlignment="1">
      <alignment horizontal="right" vertical="center" wrapText="1"/>
    </xf>
    <xf numFmtId="41" fontId="23" fillId="8" borderId="87" xfId="5" applyNumberFormat="1" applyFont="1" applyFill="1" applyBorder="1" applyAlignment="1">
      <alignment horizontal="right" vertical="center" wrapText="1"/>
    </xf>
    <xf numFmtId="0" fontId="30" fillId="4" borderId="69" xfId="4" applyNumberFormat="1" applyFont="1" applyFill="1" applyBorder="1" applyAlignment="1">
      <alignment horizontal="center" vertical="center" wrapText="1"/>
    </xf>
    <xf numFmtId="0" fontId="30" fillId="4" borderId="70" xfId="4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41" fontId="7" fillId="2" borderId="27" xfId="0" applyNumberFormat="1" applyFont="1" applyFill="1" applyBorder="1" applyAlignment="1">
      <alignment horizontal="right" vertical="center"/>
    </xf>
    <xf numFmtId="41" fontId="7" fillId="2" borderId="63" xfId="0" applyNumberFormat="1" applyFont="1" applyFill="1" applyBorder="1" applyAlignment="1">
      <alignment horizontal="right" vertical="center"/>
    </xf>
    <xf numFmtId="41" fontId="7" fillId="2" borderId="40" xfId="0" applyNumberFormat="1" applyFont="1" applyFill="1" applyBorder="1" applyAlignment="1">
      <alignment horizontal="right" vertical="center"/>
    </xf>
    <xf numFmtId="41" fontId="7" fillId="2" borderId="54" xfId="0" applyNumberFormat="1" applyFont="1" applyFill="1" applyBorder="1" applyAlignment="1">
      <alignment horizontal="right" vertical="center"/>
    </xf>
    <xf numFmtId="41" fontId="7" fillId="2" borderId="73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41" fontId="7" fillId="2" borderId="1" xfId="0" applyNumberFormat="1" applyFont="1" applyFill="1" applyBorder="1" applyAlignment="1">
      <alignment horizontal="right" vertical="center"/>
    </xf>
    <xf numFmtId="176" fontId="7" fillId="2" borderId="70" xfId="0" applyNumberFormat="1" applyFont="1" applyFill="1" applyBorder="1" applyAlignment="1">
      <alignment horizontal="right" vertical="center"/>
    </xf>
    <xf numFmtId="41" fontId="7" fillId="2" borderId="70" xfId="0" applyNumberFormat="1" applyFont="1" applyFill="1" applyBorder="1" applyAlignment="1">
      <alignment horizontal="right" vertical="center"/>
    </xf>
    <xf numFmtId="176" fontId="6" fillId="2" borderId="44" xfId="0" applyNumberFormat="1" applyFont="1" applyFill="1" applyBorder="1" applyAlignment="1">
      <alignment horizontal="right" vertical="center"/>
    </xf>
    <xf numFmtId="41" fontId="7" fillId="2" borderId="39" xfId="0" applyNumberFormat="1" applyFont="1" applyFill="1" applyBorder="1" applyAlignment="1">
      <alignment horizontal="right" vertical="center"/>
    </xf>
    <xf numFmtId="176" fontId="7" fillId="2" borderId="45" xfId="0" applyNumberFormat="1" applyFont="1" applyFill="1" applyBorder="1" applyAlignment="1">
      <alignment horizontal="right" vertical="center"/>
    </xf>
    <xf numFmtId="176" fontId="7" fillId="2" borderId="27" xfId="0" applyNumberFormat="1" applyFont="1" applyFill="1" applyBorder="1" applyAlignment="1">
      <alignment horizontal="right" vertical="center"/>
    </xf>
    <xf numFmtId="176" fontId="6" fillId="4" borderId="87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6" fillId="2" borderId="64" xfId="0" applyNumberFormat="1" applyFont="1" applyFill="1" applyBorder="1" applyAlignment="1">
      <alignment horizontal="right" vertical="center"/>
    </xf>
    <xf numFmtId="176" fontId="7" fillId="2" borderId="71" xfId="0" applyNumberFormat="1" applyFont="1" applyFill="1" applyBorder="1" applyAlignment="1">
      <alignment horizontal="right" vertical="center"/>
    </xf>
    <xf numFmtId="176" fontId="6" fillId="2" borderId="75" xfId="0" applyNumberFormat="1" applyFont="1" applyFill="1" applyBorder="1" applyAlignment="1">
      <alignment horizontal="right" vertical="center"/>
    </xf>
    <xf numFmtId="176" fontId="7" fillId="2" borderId="64" xfId="0" applyNumberFormat="1" applyFont="1" applyFill="1" applyBorder="1" applyAlignment="1">
      <alignment horizontal="right" vertical="center"/>
    </xf>
    <xf numFmtId="0" fontId="6" fillId="4" borderId="49" xfId="0" applyFont="1" applyFill="1" applyBorder="1" applyAlignment="1">
      <alignment horizontal="center" vertical="center"/>
    </xf>
    <xf numFmtId="176" fontId="18" fillId="4" borderId="70" xfId="4" applyNumberFormat="1" applyFont="1" applyFill="1" applyBorder="1" applyAlignment="1">
      <alignment horizontal="center" vertical="center" wrapText="1"/>
    </xf>
    <xf numFmtId="176" fontId="13" fillId="2" borderId="7" xfId="4" applyNumberFormat="1" applyFont="1" applyFill="1" applyBorder="1" applyAlignment="1">
      <alignment horizontal="right" vertical="center" wrapText="1"/>
    </xf>
    <xf numFmtId="176" fontId="18" fillId="2" borderId="23" xfId="5" applyNumberFormat="1" applyFont="1" applyFill="1" applyBorder="1" applyAlignment="1">
      <alignment horizontal="right" vertical="center" wrapText="1"/>
    </xf>
    <xf numFmtId="176" fontId="13" fillId="3" borderId="1" xfId="4" applyNumberFormat="1" applyFont="1" applyFill="1" applyBorder="1" applyAlignment="1">
      <alignment horizontal="right" vertical="center" wrapText="1"/>
    </xf>
    <xf numFmtId="176" fontId="13" fillId="3" borderId="1" xfId="5" applyNumberFormat="1" applyFont="1" applyFill="1" applyBorder="1" applyAlignment="1">
      <alignment horizontal="right" vertical="center" wrapText="1"/>
    </xf>
    <xf numFmtId="176" fontId="18" fillId="2" borderId="1" xfId="4" applyNumberFormat="1" applyFont="1" applyFill="1" applyBorder="1" applyAlignment="1">
      <alignment horizontal="right" vertical="center" wrapText="1"/>
    </xf>
    <xf numFmtId="41" fontId="13" fillId="2" borderId="70" xfId="5" applyNumberFormat="1" applyFont="1" applyFill="1" applyBorder="1" applyAlignment="1">
      <alignment horizontal="right" vertical="center" wrapText="1"/>
    </xf>
    <xf numFmtId="41" fontId="13" fillId="2" borderId="71" xfId="5" applyNumberFormat="1" applyFont="1" applyFill="1" applyBorder="1" applyAlignment="1">
      <alignment horizontal="right" vertical="center" wrapText="1"/>
    </xf>
    <xf numFmtId="0" fontId="18" fillId="4" borderId="67" xfId="4" applyNumberFormat="1" applyFont="1" applyFill="1" applyBorder="1" applyAlignment="1">
      <alignment horizontal="center" vertical="center" wrapText="1"/>
    </xf>
    <xf numFmtId="0" fontId="18" fillId="4" borderId="68" xfId="4" applyNumberFormat="1" applyFont="1" applyFill="1" applyBorder="1" applyAlignment="1">
      <alignment horizontal="center" vertical="center" wrapText="1"/>
    </xf>
    <xf numFmtId="41" fontId="13" fillId="0" borderId="70" xfId="5" applyNumberFormat="1" applyFont="1" applyFill="1" applyBorder="1" applyAlignment="1">
      <alignment horizontal="right" vertical="center" wrapText="1"/>
    </xf>
    <xf numFmtId="41" fontId="18" fillId="0" borderId="70" xfId="1" applyNumberFormat="1" applyFont="1" applyFill="1" applyBorder="1" applyAlignment="1">
      <alignment horizontal="right" vertical="center" wrapText="1"/>
    </xf>
    <xf numFmtId="176" fontId="18" fillId="0" borderId="70" xfId="1" applyNumberFormat="1" applyFont="1" applyFill="1" applyBorder="1" applyAlignment="1">
      <alignment horizontal="right" vertical="center" wrapText="1"/>
    </xf>
    <xf numFmtId="176" fontId="18" fillId="4" borderId="87" xfId="1" applyNumberFormat="1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18" fillId="4" borderId="68" xfId="4" applyNumberFormat="1" applyFont="1" applyFill="1" applyBorder="1" applyAlignment="1">
      <alignment horizontal="center" vertical="center" wrapText="1"/>
    </xf>
    <xf numFmtId="176" fontId="18" fillId="4" borderId="67" xfId="4" applyNumberFormat="1" applyFont="1" applyFill="1" applyBorder="1" applyAlignment="1">
      <alignment horizontal="center" vertical="center" wrapText="1"/>
    </xf>
    <xf numFmtId="176" fontId="13" fillId="0" borderId="73" xfId="4" applyNumberFormat="1" applyFont="1" applyFill="1" applyBorder="1" applyAlignment="1">
      <alignment horizontal="right" vertical="center" wrapText="1"/>
    </xf>
    <xf numFmtId="176" fontId="13" fillId="0" borderId="73" xfId="5" applyNumberFormat="1" applyFont="1" applyFill="1" applyBorder="1" applyAlignment="1">
      <alignment horizontal="right" vertical="center" wrapText="1"/>
    </xf>
    <xf numFmtId="176" fontId="18" fillId="2" borderId="73" xfId="4" applyNumberFormat="1" applyFont="1" applyFill="1" applyBorder="1" applyAlignment="1">
      <alignment horizontal="right" vertical="center" wrapText="1"/>
    </xf>
    <xf numFmtId="41" fontId="13" fillId="0" borderId="73" xfId="4" applyNumberFormat="1" applyFont="1" applyFill="1" applyBorder="1" applyAlignment="1">
      <alignment horizontal="right" vertical="center" wrapText="1"/>
    </xf>
    <xf numFmtId="41" fontId="13" fillId="0" borderId="73" xfId="5" applyNumberFormat="1" applyFont="1" applyFill="1" applyBorder="1" applyAlignment="1">
      <alignment horizontal="right" vertical="center" wrapText="1"/>
    </xf>
    <xf numFmtId="176" fontId="18" fillId="2" borderId="7" xfId="4" applyNumberFormat="1" applyFont="1" applyFill="1" applyBorder="1" applyAlignment="1">
      <alignment horizontal="right" vertical="center" wrapText="1"/>
    </xf>
    <xf numFmtId="176" fontId="13" fillId="0" borderId="1" xfId="4" applyNumberFormat="1" applyFont="1" applyFill="1" applyBorder="1" applyAlignment="1">
      <alignment horizontal="right" vertical="center" wrapText="1"/>
    </xf>
    <xf numFmtId="176" fontId="18" fillId="0" borderId="7" xfId="4" applyNumberFormat="1" applyFont="1" applyFill="1" applyBorder="1" applyAlignment="1">
      <alignment horizontal="right" vertical="center" wrapText="1"/>
    </xf>
    <xf numFmtId="176" fontId="13" fillId="3" borderId="70" xfId="5" applyNumberFormat="1" applyFont="1" applyFill="1" applyBorder="1" applyAlignment="1">
      <alignment horizontal="right" vertical="center" wrapText="1"/>
    </xf>
    <xf numFmtId="41" fontId="24" fillId="2" borderId="63" xfId="4" applyNumberFormat="1" applyFont="1" applyFill="1" applyBorder="1" applyAlignment="1">
      <alignment horizontal="right" vertical="center" wrapText="1"/>
    </xf>
    <xf numFmtId="41" fontId="24" fillId="2" borderId="43" xfId="4" applyNumberFormat="1" applyFont="1" applyFill="1" applyBorder="1" applyAlignment="1">
      <alignment horizontal="right" vertical="center" wrapText="1"/>
    </xf>
    <xf numFmtId="41" fontId="24" fillId="2" borderId="31" xfId="4" applyNumberFormat="1" applyFont="1" applyFill="1" applyBorder="1" applyAlignment="1">
      <alignment horizontal="right" vertical="center" wrapText="1"/>
    </xf>
    <xf numFmtId="41" fontId="24" fillId="2" borderId="73" xfId="4" applyNumberFormat="1" applyFont="1" applyFill="1" applyBorder="1" applyAlignment="1">
      <alignment horizontal="right" vertical="center" wrapText="1"/>
    </xf>
    <xf numFmtId="41" fontId="24" fillId="2" borderId="70" xfId="4" applyNumberFormat="1" applyFont="1" applyFill="1" applyBorder="1" applyAlignment="1">
      <alignment horizontal="right" vertical="center" wrapText="1"/>
    </xf>
    <xf numFmtId="41" fontId="23" fillId="2" borderId="71" xfId="5" applyNumberFormat="1" applyFont="1" applyFill="1" applyBorder="1" applyAlignment="1">
      <alignment vertical="center" wrapText="1"/>
    </xf>
    <xf numFmtId="41" fontId="24" fillId="2" borderId="75" xfId="5" applyNumberFormat="1" applyFont="1" applyFill="1" applyBorder="1" applyAlignment="1">
      <alignment vertical="center" wrapText="1"/>
    </xf>
    <xf numFmtId="41" fontId="24" fillId="2" borderId="64" xfId="5" applyNumberFormat="1" applyFont="1" applyFill="1" applyBorder="1" applyAlignment="1">
      <alignment vertical="center" wrapText="1"/>
    </xf>
    <xf numFmtId="41" fontId="36" fillId="2" borderId="33" xfId="5" applyNumberFormat="1" applyFont="1" applyFill="1" applyBorder="1" applyAlignment="1">
      <alignment vertical="center" wrapText="1"/>
    </xf>
    <xf numFmtId="0" fontId="16" fillId="10" borderId="95" xfId="0" applyFont="1" applyFill="1" applyBorder="1" applyAlignment="1">
      <alignment vertical="center" wrapText="1"/>
    </xf>
    <xf numFmtId="176" fontId="23" fillId="2" borderId="68" xfId="4" applyNumberFormat="1" applyFont="1" applyFill="1" applyBorder="1" applyAlignment="1">
      <alignment horizontal="right" vertical="center" wrapText="1"/>
    </xf>
    <xf numFmtId="41" fontId="23" fillId="2" borderId="22" xfId="5" applyNumberFormat="1" applyFont="1" applyFill="1" applyBorder="1" applyAlignment="1">
      <alignment horizontal="right" vertical="center" wrapText="1"/>
    </xf>
    <xf numFmtId="176" fontId="23" fillId="8" borderId="79" xfId="5" applyNumberFormat="1" applyFont="1" applyFill="1" applyBorder="1" applyAlignment="1">
      <alignment horizontal="right" vertical="center" wrapText="1"/>
    </xf>
    <xf numFmtId="176" fontId="23" fillId="8" borderId="58" xfId="5" applyNumberFormat="1" applyFont="1" applyFill="1" applyBorder="1" applyAlignment="1">
      <alignment horizontal="right" vertical="center" wrapText="1"/>
    </xf>
    <xf numFmtId="176" fontId="23" fillId="8" borderId="20" xfId="4" applyNumberFormat="1" applyFont="1" applyFill="1" applyBorder="1" applyAlignment="1">
      <alignment vertical="center" wrapText="1"/>
    </xf>
    <xf numFmtId="177" fontId="7" fillId="2" borderId="30" xfId="0" applyNumberFormat="1" applyFont="1" applyFill="1" applyBorder="1" applyAlignment="1">
      <alignment horizontal="right" vertical="center"/>
    </xf>
    <xf numFmtId="41" fontId="7" fillId="2" borderId="68" xfId="0" applyNumberFormat="1" applyFont="1" applyFill="1" applyBorder="1" applyAlignment="1">
      <alignment horizontal="right" vertical="center"/>
    </xf>
    <xf numFmtId="176" fontId="7" fillId="2" borderId="68" xfId="0" applyNumberFormat="1" applyFont="1" applyFill="1" applyBorder="1" applyAlignment="1">
      <alignment horizontal="right" vertical="center"/>
    </xf>
    <xf numFmtId="41" fontId="7" fillId="2" borderId="34" xfId="0" applyNumberFormat="1" applyFont="1" applyFill="1" applyBorder="1" applyAlignment="1">
      <alignment horizontal="right" vertical="center"/>
    </xf>
    <xf numFmtId="177" fontId="7" fillId="2" borderId="26" xfId="0" applyNumberFormat="1" applyFont="1" applyFill="1" applyBorder="1" applyAlignment="1">
      <alignment horizontal="right" vertical="center"/>
    </xf>
    <xf numFmtId="176" fontId="7" fillId="2" borderId="22" xfId="0" applyNumberFormat="1" applyFont="1" applyFill="1" applyBorder="1" applyAlignment="1">
      <alignment horizontal="right" vertical="center"/>
    </xf>
    <xf numFmtId="0" fontId="6" fillId="4" borderId="41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vertical="center"/>
    </xf>
    <xf numFmtId="176" fontId="7" fillId="2" borderId="57" xfId="0" applyNumberFormat="1" applyFont="1" applyFill="1" applyBorder="1" applyAlignment="1">
      <alignment horizontal="right" vertical="center"/>
    </xf>
    <xf numFmtId="177" fontId="13" fillId="0" borderId="63" xfId="5" applyNumberFormat="1" applyFont="1" applyFill="1" applyBorder="1" applyAlignment="1">
      <alignment horizontal="right" vertical="center" wrapText="1"/>
    </xf>
    <xf numFmtId="176" fontId="18" fillId="0" borderId="45" xfId="1" applyNumberFormat="1" applyFont="1" applyFill="1" applyBorder="1" applyAlignment="1">
      <alignment horizontal="right" vertical="center" wrapText="1"/>
    </xf>
    <xf numFmtId="177" fontId="13" fillId="3" borderId="83" xfId="5" applyNumberFormat="1" applyFont="1" applyFill="1" applyBorder="1" applyAlignment="1">
      <alignment horizontal="right" vertical="center" wrapText="1"/>
    </xf>
    <xf numFmtId="176" fontId="18" fillId="4" borderId="79" xfId="4" applyNumberFormat="1" applyFont="1" applyFill="1" applyBorder="1" applyAlignment="1">
      <alignment horizontal="right" vertical="center" wrapText="1"/>
    </xf>
    <xf numFmtId="176" fontId="18" fillId="4" borderId="58" xfId="5" applyNumberFormat="1" applyFont="1" applyFill="1" applyBorder="1" applyAlignment="1">
      <alignment horizontal="right" vertical="center" wrapText="1"/>
    </xf>
    <xf numFmtId="177" fontId="13" fillId="0" borderId="73" xfId="5" applyNumberFormat="1" applyFont="1" applyFill="1" applyBorder="1" applyAlignment="1">
      <alignment horizontal="right" vertical="center" wrapText="1"/>
    </xf>
    <xf numFmtId="177" fontId="13" fillId="0" borderId="70" xfId="5" applyNumberFormat="1" applyFont="1" applyFill="1" applyBorder="1" applyAlignment="1">
      <alignment horizontal="right" vertical="center" wrapText="1"/>
    </xf>
    <xf numFmtId="0" fontId="7" fillId="2" borderId="63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7" fillId="2" borderId="38" xfId="0" applyFont="1" applyFill="1" applyBorder="1" applyAlignment="1">
      <alignment vertical="top" wrapText="1"/>
    </xf>
    <xf numFmtId="0" fontId="7" fillId="2" borderId="73" xfId="0" applyFont="1" applyFill="1" applyBorder="1" applyAlignment="1">
      <alignment vertical="top" wrapText="1"/>
    </xf>
    <xf numFmtId="0" fontId="6" fillId="7" borderId="15" xfId="0" applyFont="1" applyFill="1" applyBorder="1" applyAlignment="1">
      <alignment vertical="top" wrapText="1"/>
    </xf>
    <xf numFmtId="0" fontId="7" fillId="7" borderId="65" xfId="0" applyFont="1" applyFill="1" applyBorder="1" applyAlignment="1">
      <alignment vertical="top" wrapText="1"/>
    </xf>
    <xf numFmtId="176" fontId="6" fillId="2" borderId="54" xfId="0" applyNumberFormat="1" applyFont="1" applyFill="1" applyBorder="1" applyAlignment="1">
      <alignment horizontal="right" vertical="center"/>
    </xf>
    <xf numFmtId="41" fontId="7" fillId="2" borderId="43" xfId="0" applyNumberFormat="1" applyFont="1" applyFill="1" applyBorder="1" applyAlignment="1">
      <alignment horizontal="right" vertical="center"/>
    </xf>
    <xf numFmtId="176" fontId="7" fillId="2" borderId="39" xfId="0" applyNumberFormat="1" applyFont="1" applyFill="1" applyBorder="1" applyAlignment="1">
      <alignment horizontal="right" vertical="center"/>
    </xf>
    <xf numFmtId="41" fontId="7" fillId="2" borderId="105" xfId="0" applyNumberFormat="1" applyFont="1" applyFill="1" applyBorder="1" applyAlignment="1">
      <alignment horizontal="right" vertical="center"/>
    </xf>
    <xf numFmtId="41" fontId="7" fillId="2" borderId="106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vertical="center"/>
    </xf>
    <xf numFmtId="41" fontId="7" fillId="2" borderId="107" xfId="0" applyNumberFormat="1" applyFont="1" applyFill="1" applyBorder="1" applyAlignment="1">
      <alignment horizontal="right" vertical="center"/>
    </xf>
    <xf numFmtId="41" fontId="7" fillId="2" borderId="108" xfId="0" applyNumberFormat="1" applyFont="1" applyFill="1" applyBorder="1" applyAlignment="1">
      <alignment horizontal="right" vertical="center"/>
    </xf>
    <xf numFmtId="41" fontId="7" fillId="2" borderId="82" xfId="0" applyNumberFormat="1" applyFont="1" applyFill="1" applyBorder="1" applyAlignment="1">
      <alignment horizontal="right" vertical="center"/>
    </xf>
    <xf numFmtId="177" fontId="7" fillId="2" borderId="109" xfId="0" applyNumberFormat="1" applyFont="1" applyFill="1" applyBorder="1" applyAlignment="1">
      <alignment horizontal="right" vertical="center"/>
    </xf>
    <xf numFmtId="177" fontId="7" fillId="2" borderId="110" xfId="0" applyNumberFormat="1" applyFont="1" applyFill="1" applyBorder="1" applyAlignment="1">
      <alignment horizontal="right" vertical="center"/>
    </xf>
    <xf numFmtId="177" fontId="7" fillId="2" borderId="111" xfId="0" applyNumberFormat="1" applyFont="1" applyFill="1" applyBorder="1" applyAlignment="1">
      <alignment horizontal="right" vertical="center"/>
    </xf>
    <xf numFmtId="177" fontId="7" fillId="2" borderId="106" xfId="0" applyNumberFormat="1" applyFont="1" applyFill="1" applyBorder="1" applyAlignment="1">
      <alignment horizontal="right" vertical="center"/>
    </xf>
    <xf numFmtId="177" fontId="7" fillId="2" borderId="28" xfId="0" applyNumberFormat="1" applyFont="1" applyFill="1" applyBorder="1" applyAlignment="1">
      <alignment horizontal="right" vertical="center"/>
    </xf>
    <xf numFmtId="177" fontId="7" fillId="2" borderId="112" xfId="0" applyNumberFormat="1" applyFont="1" applyFill="1" applyBorder="1" applyAlignment="1">
      <alignment horizontal="right" vertical="center"/>
    </xf>
    <xf numFmtId="0" fontId="35" fillId="3" borderId="63" xfId="14" applyFont="1" applyFill="1" applyBorder="1" applyAlignment="1">
      <alignment vertical="center" wrapText="1"/>
    </xf>
    <xf numFmtId="0" fontId="7" fillId="2" borderId="63" xfId="0" applyFont="1" applyFill="1" applyBorder="1" applyAlignment="1">
      <alignment horizontal="left" vertical="top" wrapText="1"/>
    </xf>
    <xf numFmtId="0" fontId="7" fillId="2" borderId="65" xfId="0" applyFont="1" applyFill="1" applyBorder="1" applyAlignment="1">
      <alignment horizontal="left" vertical="top" wrapText="1"/>
    </xf>
    <xf numFmtId="176" fontId="13" fillId="0" borderId="63" xfId="4" applyNumberFormat="1" applyFont="1" applyFill="1" applyBorder="1" applyAlignment="1">
      <alignment horizontal="left" vertical="top" wrapText="1"/>
    </xf>
    <xf numFmtId="176" fontId="13" fillId="0" borderId="1" xfId="4" applyNumberFormat="1" applyFont="1" applyFill="1" applyBorder="1" applyAlignment="1">
      <alignment vertical="top" wrapText="1"/>
    </xf>
    <xf numFmtId="176" fontId="13" fillId="0" borderId="63" xfId="4" applyNumberFormat="1" applyFont="1" applyFill="1" applyBorder="1" applyAlignment="1">
      <alignment vertical="top" wrapText="1"/>
    </xf>
    <xf numFmtId="176" fontId="13" fillId="3" borderId="1" xfId="4" applyNumberFormat="1" applyFont="1" applyFill="1" applyBorder="1" applyAlignment="1">
      <alignment vertical="top" wrapText="1"/>
    </xf>
    <xf numFmtId="176" fontId="13" fillId="3" borderId="63" xfId="4" applyNumberFormat="1" applyFont="1" applyFill="1" applyBorder="1" applyAlignment="1">
      <alignment vertical="top" wrapText="1"/>
    </xf>
    <xf numFmtId="176" fontId="13" fillId="3" borderId="73" xfId="4" applyNumberFormat="1" applyFont="1" applyFill="1" applyBorder="1" applyAlignment="1">
      <alignment vertical="top" wrapText="1"/>
    </xf>
    <xf numFmtId="176" fontId="13" fillId="3" borderId="8" xfId="4" applyNumberFormat="1" applyFont="1" applyFill="1" applyBorder="1" applyAlignment="1">
      <alignment vertical="top" wrapText="1"/>
    </xf>
    <xf numFmtId="176" fontId="13" fillId="0" borderId="8" xfId="4" applyNumberFormat="1" applyFont="1" applyFill="1" applyBorder="1" applyAlignment="1">
      <alignment vertical="top" wrapText="1"/>
    </xf>
    <xf numFmtId="176" fontId="13" fillId="2" borderId="1" xfId="4" applyNumberFormat="1" applyFont="1" applyFill="1" applyBorder="1" applyAlignment="1">
      <alignment vertical="top" wrapText="1"/>
    </xf>
    <xf numFmtId="0" fontId="19" fillId="2" borderId="10" xfId="4" applyNumberFormat="1" applyFont="1" applyFill="1" applyBorder="1" applyAlignment="1">
      <alignment vertical="top" wrapText="1"/>
    </xf>
    <xf numFmtId="176" fontId="13" fillId="0" borderId="71" xfId="5" applyNumberFormat="1" applyFont="1" applyFill="1" applyBorder="1" applyAlignment="1">
      <alignment horizontal="right" vertical="center" wrapText="1"/>
    </xf>
    <xf numFmtId="176" fontId="13" fillId="0" borderId="23" xfId="5" applyNumberFormat="1" applyFont="1" applyFill="1" applyBorder="1" applyAlignment="1">
      <alignment horizontal="right" vertical="center" wrapText="1"/>
    </xf>
    <xf numFmtId="176" fontId="13" fillId="0" borderId="75" xfId="1" applyNumberFormat="1" applyFont="1" applyFill="1" applyBorder="1" applyAlignment="1">
      <alignment horizontal="right" vertical="center" wrapText="1"/>
    </xf>
    <xf numFmtId="176" fontId="13" fillId="0" borderId="64" xfId="1" applyNumberFormat="1" applyFont="1" applyFill="1" applyBorder="1" applyAlignment="1">
      <alignment horizontal="right" vertical="center" wrapText="1"/>
    </xf>
    <xf numFmtId="176" fontId="18" fillId="0" borderId="71" xfId="1" applyNumberFormat="1" applyFont="1" applyFill="1" applyBorder="1" applyAlignment="1">
      <alignment horizontal="right" vertical="center" wrapText="1"/>
    </xf>
    <xf numFmtId="176" fontId="18" fillId="0" borderId="75" xfId="1" applyNumberFormat="1" applyFont="1" applyFill="1" applyBorder="1" applyAlignment="1">
      <alignment horizontal="right" vertical="center" wrapText="1"/>
    </xf>
    <xf numFmtId="176" fontId="18" fillId="0" borderId="64" xfId="1" applyNumberFormat="1" applyFont="1" applyFill="1" applyBorder="1" applyAlignment="1">
      <alignment horizontal="right" vertical="center" wrapText="1"/>
    </xf>
    <xf numFmtId="176" fontId="13" fillId="0" borderId="73" xfId="4" applyNumberFormat="1" applyFont="1" applyFill="1" applyBorder="1" applyAlignment="1">
      <alignment vertical="top" wrapText="1"/>
    </xf>
    <xf numFmtId="176" fontId="13" fillId="0" borderId="73" xfId="4" applyNumberFormat="1" applyFont="1" applyFill="1" applyBorder="1" applyAlignment="1">
      <alignment horizontal="left" vertical="top" wrapText="1"/>
    </xf>
    <xf numFmtId="176" fontId="13" fillId="0" borderId="73" xfId="4" applyNumberFormat="1" applyFont="1" applyFill="1" applyBorder="1" applyAlignment="1">
      <alignment vertical="top"/>
    </xf>
    <xf numFmtId="176" fontId="13" fillId="3" borderId="3" xfId="4" applyNumberFormat="1" applyFont="1" applyFill="1" applyBorder="1" applyAlignment="1">
      <alignment vertical="top" wrapText="1"/>
    </xf>
    <xf numFmtId="176" fontId="13" fillId="2" borderId="32" xfId="4" applyNumberFormat="1" applyFont="1" applyFill="1" applyBorder="1" applyAlignment="1">
      <alignment vertical="top" wrapText="1"/>
    </xf>
    <xf numFmtId="176" fontId="13" fillId="0" borderId="32" xfId="4" applyNumberFormat="1" applyFont="1" applyFill="1" applyBorder="1" applyAlignment="1">
      <alignment vertical="top" wrapText="1"/>
    </xf>
    <xf numFmtId="176" fontId="13" fillId="2" borderId="73" xfId="4" applyNumberFormat="1" applyFont="1" applyFill="1" applyBorder="1" applyAlignment="1">
      <alignment vertical="top" wrapText="1"/>
    </xf>
    <xf numFmtId="177" fontId="13" fillId="3" borderId="84" xfId="5" applyNumberFormat="1" applyFont="1" applyFill="1" applyBorder="1" applyAlignment="1">
      <alignment horizontal="right" vertical="center" wrapText="1"/>
    </xf>
    <xf numFmtId="176" fontId="18" fillId="0" borderId="70" xfId="5" applyNumberFormat="1" applyFont="1" applyFill="1" applyBorder="1" applyAlignment="1">
      <alignment horizontal="right" vertical="center" wrapText="1"/>
    </xf>
    <xf numFmtId="0" fontId="24" fillId="2" borderId="73" xfId="4" applyNumberFormat="1" applyFont="1" applyFill="1" applyBorder="1" applyAlignment="1">
      <alignment vertical="top" wrapText="1"/>
    </xf>
    <xf numFmtId="0" fontId="24" fillId="2" borderId="63" xfId="4" applyNumberFormat="1" applyFont="1" applyFill="1" applyBorder="1" applyAlignment="1">
      <alignment vertical="top" wrapText="1"/>
    </xf>
    <xf numFmtId="0" fontId="24" fillId="2" borderId="1" xfId="4" applyNumberFormat="1" applyFont="1" applyFill="1" applyBorder="1" applyAlignment="1">
      <alignment vertical="top" wrapText="1"/>
    </xf>
    <xf numFmtId="0" fontId="7" fillId="2" borderId="65" xfId="0" applyFont="1" applyFill="1" applyBorder="1" applyAlignment="1">
      <alignment horizontal="left" vertical="top" wrapText="1"/>
    </xf>
    <xf numFmtId="0" fontId="5" fillId="0" borderId="79" xfId="0" applyFont="1" applyBorder="1" applyAlignment="1">
      <alignment horizontal="center" vertical="center" wrapText="1"/>
    </xf>
    <xf numFmtId="0" fontId="30" fillId="4" borderId="5" xfId="4" applyNumberFormat="1" applyFont="1" applyFill="1" applyBorder="1" applyAlignment="1">
      <alignment horizontal="center" vertical="center" wrapText="1"/>
    </xf>
    <xf numFmtId="176" fontId="24" fillId="2" borderId="63" xfId="4" applyNumberFormat="1" applyFont="1" applyFill="1" applyBorder="1" applyAlignment="1">
      <alignment horizontal="right" vertical="center" wrapText="1"/>
    </xf>
    <xf numFmtId="176" fontId="24" fillId="2" borderId="73" xfId="4" applyNumberFormat="1" applyFont="1" applyFill="1" applyBorder="1" applyAlignment="1">
      <alignment horizontal="right" vertical="center" wrapText="1"/>
    </xf>
    <xf numFmtId="176" fontId="7" fillId="2" borderId="30" xfId="0" applyNumberFormat="1" applyFont="1" applyFill="1" applyBorder="1" applyAlignment="1">
      <alignment horizontal="right" vertical="center"/>
    </xf>
    <xf numFmtId="176" fontId="7" fillId="2" borderId="26" xfId="0" applyNumberFormat="1" applyFont="1" applyFill="1" applyBorder="1" applyAlignment="1">
      <alignment horizontal="right" vertical="center"/>
    </xf>
    <xf numFmtId="176" fontId="6" fillId="2" borderId="83" xfId="0" applyNumberFormat="1" applyFont="1" applyFill="1" applyBorder="1" applyAlignment="1">
      <alignment horizontal="right" vertical="center"/>
    </xf>
    <xf numFmtId="176" fontId="7" fillId="2" borderId="6" xfId="0" applyNumberFormat="1" applyFont="1" applyFill="1" applyBorder="1" applyAlignment="1">
      <alignment horizontal="right" vertical="center"/>
    </xf>
    <xf numFmtId="41" fontId="7" fillId="2" borderId="84" xfId="0" applyNumberFormat="1" applyFont="1" applyFill="1" applyBorder="1" applyAlignment="1">
      <alignment horizontal="right" vertical="center"/>
    </xf>
    <xf numFmtId="41" fontId="7" fillId="2" borderId="36" xfId="0" applyNumberFormat="1" applyFont="1" applyFill="1" applyBorder="1" applyAlignment="1">
      <alignment horizontal="right" vertical="center"/>
    </xf>
    <xf numFmtId="176" fontId="7" fillId="2" borderId="36" xfId="0" applyNumberFormat="1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right" vertical="center"/>
    </xf>
    <xf numFmtId="41" fontId="7" fillId="2" borderId="114" xfId="0" applyNumberFormat="1" applyFont="1" applyFill="1" applyBorder="1" applyAlignment="1">
      <alignment horizontal="right" vertical="center"/>
    </xf>
    <xf numFmtId="176" fontId="7" fillId="2" borderId="66" xfId="0" applyNumberFormat="1" applyFont="1" applyFill="1" applyBorder="1" applyAlignment="1">
      <alignment horizontal="right" vertical="center"/>
    </xf>
    <xf numFmtId="41" fontId="7" fillId="2" borderId="26" xfId="0" applyNumberFormat="1" applyFont="1" applyFill="1" applyBorder="1" applyAlignment="1">
      <alignment horizontal="right" vertical="center"/>
    </xf>
    <xf numFmtId="0" fontId="6" fillId="2" borderId="63" xfId="0" applyFont="1" applyFill="1" applyBorder="1" applyAlignment="1">
      <alignment horizontal="left" vertical="top" wrapText="1"/>
    </xf>
    <xf numFmtId="177" fontId="7" fillId="2" borderId="63" xfId="0" applyNumberFormat="1" applyFont="1" applyFill="1" applyBorder="1" applyAlignment="1">
      <alignment horizontal="right" vertical="center"/>
    </xf>
    <xf numFmtId="0" fontId="7" fillId="2" borderId="39" xfId="0" applyFont="1" applyFill="1" applyBorder="1" applyAlignment="1">
      <alignment vertical="top" wrapText="1"/>
    </xf>
    <xf numFmtId="0" fontId="7" fillId="7" borderId="19" xfId="0" applyFont="1" applyFill="1" applyBorder="1" applyAlignment="1">
      <alignment vertical="top" wrapText="1"/>
    </xf>
    <xf numFmtId="176" fontId="7" fillId="2" borderId="73" xfId="0" applyNumberFormat="1" applyFont="1" applyFill="1" applyBorder="1" applyAlignment="1">
      <alignment horizontal="right" vertical="center"/>
    </xf>
    <xf numFmtId="177" fontId="7" fillId="2" borderId="73" xfId="0" applyNumberFormat="1" applyFont="1" applyFill="1" applyBorder="1" applyAlignment="1">
      <alignment horizontal="right" vertical="center"/>
    </xf>
    <xf numFmtId="177" fontId="7" fillId="2" borderId="41" xfId="0" applyNumberFormat="1" applyFont="1" applyFill="1" applyBorder="1" applyAlignment="1">
      <alignment horizontal="right" vertical="center"/>
    </xf>
    <xf numFmtId="176" fontId="6" fillId="2" borderId="73" xfId="0" applyNumberFormat="1" applyFont="1" applyFill="1" applyBorder="1" applyAlignment="1">
      <alignment horizontal="right" vertical="center"/>
    </xf>
    <xf numFmtId="0" fontId="7" fillId="2" borderId="73" xfId="0" applyFont="1" applyFill="1" applyBorder="1" applyAlignment="1">
      <alignment horizontal="left" vertical="center" wrapText="1"/>
    </xf>
    <xf numFmtId="0" fontId="7" fillId="2" borderId="63" xfId="0" applyFont="1" applyFill="1" applyBorder="1" applyAlignment="1">
      <alignment horizontal="left" vertical="center" wrapText="1"/>
    </xf>
    <xf numFmtId="0" fontId="7" fillId="2" borderId="63" xfId="0" applyFont="1" applyFill="1" applyBorder="1" applyAlignment="1">
      <alignment vertical="center" wrapText="1"/>
    </xf>
    <xf numFmtId="0" fontId="6" fillId="2" borderId="63" xfId="0" applyFont="1" applyFill="1" applyBorder="1" applyAlignment="1">
      <alignment horizontal="left" vertical="top"/>
    </xf>
    <xf numFmtId="0" fontId="7" fillId="2" borderId="73" xfId="0" applyFont="1" applyFill="1" applyBorder="1" applyAlignment="1">
      <alignment horizontal="left" vertical="top"/>
    </xf>
    <xf numFmtId="0" fontId="7" fillId="2" borderId="63" xfId="0" applyFont="1" applyFill="1" applyBorder="1" applyAlignment="1">
      <alignment horizontal="left" vertical="top"/>
    </xf>
    <xf numFmtId="41" fontId="32" fillId="2" borderId="63" xfId="1" applyFont="1" applyFill="1" applyBorder="1" applyAlignment="1">
      <alignment horizontal="center" vertical="center" wrapText="1"/>
    </xf>
    <xf numFmtId="41" fontId="32" fillId="2" borderId="70" xfId="1" applyFont="1" applyFill="1" applyBorder="1" applyAlignment="1">
      <alignment horizontal="center" vertical="center" wrapText="1"/>
    </xf>
    <xf numFmtId="177" fontId="7" fillId="2" borderId="50" xfId="0" applyNumberFormat="1" applyFont="1" applyFill="1" applyBorder="1" applyAlignment="1">
      <alignment horizontal="right" vertical="center"/>
    </xf>
    <xf numFmtId="177" fontId="29" fillId="2" borderId="63" xfId="1" applyNumberFormat="1" applyFont="1" applyFill="1" applyBorder="1" applyAlignment="1">
      <alignment horizontal="center" vertical="center" wrapText="1"/>
    </xf>
    <xf numFmtId="177" fontId="29" fillId="2" borderId="70" xfId="1" applyNumberFormat="1" applyFont="1" applyFill="1" applyBorder="1" applyAlignment="1">
      <alignment horizontal="center" vertical="center" wrapText="1"/>
    </xf>
    <xf numFmtId="41" fontId="32" fillId="2" borderId="73" xfId="1" applyFont="1" applyFill="1" applyBorder="1" applyAlignment="1">
      <alignment horizontal="center" vertical="center" wrapText="1"/>
    </xf>
    <xf numFmtId="177" fontId="29" fillId="2" borderId="73" xfId="1" applyNumberFormat="1" applyFont="1" applyFill="1" applyBorder="1" applyAlignment="1">
      <alignment horizontal="center" vertical="center" wrapText="1"/>
    </xf>
    <xf numFmtId="177" fontId="7" fillId="2" borderId="53" xfId="0" applyNumberFormat="1" applyFont="1" applyFill="1" applyBorder="1" applyAlignment="1">
      <alignment horizontal="right" vertical="center"/>
    </xf>
    <xf numFmtId="176" fontId="6" fillId="2" borderId="45" xfId="0" applyNumberFormat="1" applyFont="1" applyFill="1" applyBorder="1" applyAlignment="1">
      <alignment horizontal="right" vertical="center"/>
    </xf>
    <xf numFmtId="176" fontId="7" fillId="2" borderId="75" xfId="0" applyNumberFormat="1" applyFont="1" applyFill="1" applyBorder="1" applyAlignment="1">
      <alignment horizontal="right" vertical="center"/>
    </xf>
    <xf numFmtId="41" fontId="7" fillId="2" borderId="7" xfId="0" applyNumberFormat="1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left" vertical="top" wrapText="1"/>
    </xf>
    <xf numFmtId="41" fontId="29" fillId="2" borderId="73" xfId="1" applyFont="1" applyFill="1" applyBorder="1" applyAlignment="1">
      <alignment horizontal="center" vertical="center" wrapText="1"/>
    </xf>
    <xf numFmtId="41" fontId="29" fillId="2" borderId="70" xfId="1" applyFont="1" applyFill="1" applyBorder="1" applyAlignment="1">
      <alignment horizontal="center" vertical="center" wrapText="1"/>
    </xf>
    <xf numFmtId="176" fontId="24" fillId="2" borderId="6" xfId="4" applyNumberFormat="1" applyFont="1" applyFill="1" applyBorder="1" applyAlignment="1">
      <alignment horizontal="right" vertical="center" wrapText="1"/>
    </xf>
    <xf numFmtId="176" fontId="23" fillId="2" borderId="84" xfId="4" applyNumberFormat="1" applyFont="1" applyFill="1" applyBorder="1" applyAlignment="1">
      <alignment horizontal="right" vertical="center" wrapText="1"/>
    </xf>
    <xf numFmtId="176" fontId="16" fillId="10" borderId="37" xfId="0" applyNumberFormat="1" applyFont="1" applyFill="1" applyBorder="1" applyAlignment="1">
      <alignment vertical="center"/>
    </xf>
    <xf numFmtId="176" fontId="16" fillId="10" borderId="63" xfId="0" applyNumberFormat="1" applyFont="1" applyFill="1" applyBorder="1" applyAlignment="1">
      <alignment vertical="center"/>
    </xf>
    <xf numFmtId="178" fontId="16" fillId="10" borderId="37" xfId="0" applyNumberFormat="1" applyFont="1" applyFill="1" applyBorder="1" applyAlignment="1">
      <alignment vertical="center"/>
    </xf>
    <xf numFmtId="176" fontId="23" fillId="2" borderId="116" xfId="4" applyNumberFormat="1" applyFont="1" applyFill="1" applyBorder="1" applyAlignment="1">
      <alignment horizontal="right" vertical="center" wrapText="1"/>
    </xf>
    <xf numFmtId="178" fontId="16" fillId="10" borderId="63" xfId="0" applyNumberFormat="1" applyFont="1" applyFill="1" applyBorder="1" applyAlignment="1">
      <alignment vertical="center"/>
    </xf>
    <xf numFmtId="176" fontId="16" fillId="10" borderId="73" xfId="0" applyNumberFormat="1" applyFont="1" applyFill="1" applyBorder="1" applyAlignment="1">
      <alignment vertical="center"/>
    </xf>
    <xf numFmtId="176" fontId="24" fillId="2" borderId="73" xfId="5" applyNumberFormat="1" applyFont="1" applyFill="1" applyBorder="1" applyAlignment="1">
      <alignment horizontal="right" vertical="center" wrapText="1"/>
    </xf>
    <xf numFmtId="177" fontId="24" fillId="2" borderId="59" xfId="5" applyNumberFormat="1" applyFont="1" applyFill="1" applyBorder="1" applyAlignment="1">
      <alignment horizontal="right" vertical="center" wrapText="1"/>
    </xf>
    <xf numFmtId="176" fontId="24" fillId="2" borderId="63" xfId="5" applyNumberFormat="1" applyFont="1" applyFill="1" applyBorder="1" applyAlignment="1">
      <alignment horizontal="right" vertical="center" wrapText="1"/>
    </xf>
    <xf numFmtId="176" fontId="24" fillId="2" borderId="70" xfId="5" applyNumberFormat="1" applyFont="1" applyFill="1" applyBorder="1" applyAlignment="1">
      <alignment horizontal="right" vertical="center" wrapText="1"/>
    </xf>
    <xf numFmtId="176" fontId="23" fillId="2" borderId="71" xfId="5" applyNumberFormat="1" applyFont="1" applyFill="1" applyBorder="1" applyAlignment="1">
      <alignment horizontal="right" vertical="center" wrapText="1"/>
    </xf>
    <xf numFmtId="176" fontId="16" fillId="10" borderId="81" xfId="0" applyNumberFormat="1" applyFont="1" applyFill="1" applyBorder="1" applyAlignment="1">
      <alignment vertical="center"/>
    </xf>
    <xf numFmtId="176" fontId="16" fillId="10" borderId="1" xfId="0" applyNumberFormat="1" applyFont="1" applyFill="1" applyBorder="1" applyAlignment="1">
      <alignment vertical="center"/>
    </xf>
    <xf numFmtId="177" fontId="24" fillId="2" borderId="83" xfId="5" applyNumberFormat="1" applyFont="1" applyFill="1" applyBorder="1" applyAlignment="1">
      <alignment horizontal="right" vertical="center" wrapText="1"/>
    </xf>
    <xf numFmtId="0" fontId="16" fillId="10" borderId="117" xfId="0" applyFont="1" applyFill="1" applyBorder="1" applyAlignment="1">
      <alignment vertical="center" wrapText="1"/>
    </xf>
    <xf numFmtId="0" fontId="24" fillId="2" borderId="65" xfId="4" applyNumberFormat="1" applyFont="1" applyFill="1" applyBorder="1" applyAlignment="1">
      <alignment vertical="top" wrapText="1"/>
    </xf>
    <xf numFmtId="41" fontId="24" fillId="2" borderId="75" xfId="5" applyNumberFormat="1" applyFont="1" applyFill="1" applyBorder="1" applyAlignment="1">
      <alignment horizontal="right" vertical="center" wrapText="1"/>
    </xf>
    <xf numFmtId="176" fontId="7" fillId="10" borderId="81" xfId="0" applyNumberFormat="1" applyFont="1" applyFill="1" applyBorder="1" applyAlignment="1">
      <alignment vertical="center"/>
    </xf>
    <xf numFmtId="176" fontId="7" fillId="10" borderId="1" xfId="0" applyNumberFormat="1" applyFont="1" applyFill="1" applyBorder="1" applyAlignment="1">
      <alignment vertical="center"/>
    </xf>
    <xf numFmtId="179" fontId="16" fillId="10" borderId="118" xfId="0" applyNumberFormat="1" applyFont="1" applyFill="1" applyBorder="1" applyAlignment="1">
      <alignment vertical="center" wrapText="1"/>
    </xf>
    <xf numFmtId="41" fontId="7" fillId="2" borderId="41" xfId="4" applyNumberFormat="1" applyFont="1" applyFill="1" applyBorder="1" applyAlignment="1">
      <alignment horizontal="right" vertical="center" wrapText="1"/>
    </xf>
    <xf numFmtId="41" fontId="7" fillId="2" borderId="41" xfId="5" applyNumberFormat="1" applyFont="1" applyFill="1" applyBorder="1" applyAlignment="1">
      <alignment horizontal="right" vertical="center" wrapText="1"/>
    </xf>
    <xf numFmtId="176" fontId="7" fillId="2" borderId="41" xfId="5" applyNumberFormat="1" applyFont="1" applyFill="1" applyBorder="1" applyAlignment="1">
      <alignment horizontal="right" vertical="center" wrapText="1"/>
    </xf>
    <xf numFmtId="41" fontId="7" fillId="2" borderId="42" xfId="5" applyNumberFormat="1" applyFont="1" applyFill="1" applyBorder="1" applyAlignment="1">
      <alignment vertical="top" wrapText="1"/>
    </xf>
    <xf numFmtId="41" fontId="7" fillId="2" borderId="101" xfId="4" applyNumberFormat="1" applyFont="1" applyFill="1" applyBorder="1" applyAlignment="1">
      <alignment horizontal="right" vertical="center" wrapText="1"/>
    </xf>
    <xf numFmtId="41" fontId="7" fillId="2" borderId="101" xfId="5" applyNumberFormat="1" applyFont="1" applyFill="1" applyBorder="1" applyAlignment="1">
      <alignment horizontal="right" vertical="center" wrapText="1"/>
    </xf>
    <xf numFmtId="176" fontId="7" fillId="2" borderId="101" xfId="5" applyNumberFormat="1" applyFont="1" applyFill="1" applyBorder="1" applyAlignment="1">
      <alignment horizontal="right" vertical="center" wrapText="1"/>
    </xf>
    <xf numFmtId="41" fontId="7" fillId="2" borderId="103" xfId="5" applyNumberFormat="1" applyFont="1" applyFill="1" applyBorder="1" applyAlignment="1">
      <alignment vertical="top" wrapText="1"/>
    </xf>
    <xf numFmtId="41" fontId="24" fillId="2" borderId="41" xfId="4" applyNumberFormat="1" applyFont="1" applyFill="1" applyBorder="1" applyAlignment="1">
      <alignment horizontal="right" vertical="center" wrapText="1"/>
    </xf>
    <xf numFmtId="41" fontId="24" fillId="2" borderId="41" xfId="5" applyNumberFormat="1" applyFont="1" applyFill="1" applyBorder="1" applyAlignment="1">
      <alignment horizontal="right" vertical="center" wrapText="1"/>
    </xf>
    <xf numFmtId="41" fontId="24" fillId="2" borderId="42" xfId="5" applyNumberFormat="1" applyFont="1" applyFill="1" applyBorder="1" applyAlignment="1">
      <alignment vertical="center" wrapText="1"/>
    </xf>
    <xf numFmtId="176" fontId="7" fillId="2" borderId="63" xfId="5" applyNumberFormat="1" applyFont="1" applyFill="1" applyBorder="1" applyAlignment="1">
      <alignment horizontal="right" vertical="center" wrapText="1"/>
    </xf>
    <xf numFmtId="41" fontId="24" fillId="2" borderId="93" xfId="5" applyNumberFormat="1" applyFont="1" applyFill="1" applyBorder="1" applyAlignment="1">
      <alignment vertical="center" wrapText="1"/>
    </xf>
    <xf numFmtId="41" fontId="24" fillId="2" borderId="120" xfId="5" applyNumberFormat="1" applyFont="1" applyFill="1" applyBorder="1" applyAlignment="1">
      <alignment vertical="center" wrapText="1"/>
    </xf>
    <xf numFmtId="41" fontId="23" fillId="2" borderId="121" xfId="5" applyNumberFormat="1" applyFont="1" applyFill="1" applyBorder="1" applyAlignment="1">
      <alignment vertical="center" wrapText="1"/>
    </xf>
    <xf numFmtId="176" fontId="7" fillId="2" borderId="73" xfId="5" applyNumberFormat="1" applyFont="1" applyFill="1" applyBorder="1" applyAlignment="1">
      <alignment horizontal="right" vertical="center" wrapText="1"/>
    </xf>
    <xf numFmtId="177" fontId="7" fillId="2" borderId="63" xfId="5" applyNumberFormat="1" applyFont="1" applyFill="1" applyBorder="1" applyAlignment="1">
      <alignment horizontal="right" vertical="center" wrapText="1"/>
    </xf>
    <xf numFmtId="177" fontId="7" fillId="2" borderId="73" xfId="5" applyNumberFormat="1" applyFont="1" applyFill="1" applyBorder="1" applyAlignment="1">
      <alignment horizontal="right" vertical="center" wrapText="1"/>
    </xf>
    <xf numFmtId="41" fontId="24" fillId="2" borderId="1" xfId="4" applyNumberFormat="1" applyFont="1" applyFill="1" applyBorder="1" applyAlignment="1">
      <alignment horizontal="right" vertical="center" wrapText="1"/>
    </xf>
    <xf numFmtId="176" fontId="7" fillId="2" borderId="1" xfId="5" applyNumberFormat="1" applyFont="1" applyFill="1" applyBorder="1" applyAlignment="1">
      <alignment horizontal="right" vertical="center" wrapText="1"/>
    </xf>
    <xf numFmtId="41" fontId="23" fillId="2" borderId="42" xfId="5" applyNumberFormat="1" applyFont="1" applyFill="1" applyBorder="1" applyAlignment="1">
      <alignment vertical="center" wrapText="1"/>
    </xf>
    <xf numFmtId="177" fontId="7" fillId="2" borderId="1" xfId="5" applyNumberFormat="1" applyFont="1" applyFill="1" applyBorder="1" applyAlignment="1">
      <alignment horizontal="right" vertical="center" wrapText="1"/>
    </xf>
    <xf numFmtId="177" fontId="7" fillId="2" borderId="70" xfId="5" applyNumberFormat="1" applyFont="1" applyFill="1" applyBorder="1" applyAlignment="1">
      <alignment horizontal="right" vertical="center" wrapText="1"/>
    </xf>
    <xf numFmtId="176" fontId="7" fillId="2" borderId="35" xfId="5" applyNumberFormat="1" applyFont="1" applyFill="1" applyBorder="1" applyAlignment="1">
      <alignment horizontal="right" vertical="center" wrapText="1"/>
    </xf>
    <xf numFmtId="177" fontId="7" fillId="2" borderId="101" xfId="5" applyNumberFormat="1" applyFont="1" applyFill="1" applyBorder="1" applyAlignment="1">
      <alignment horizontal="right" vertical="center" wrapText="1"/>
    </xf>
    <xf numFmtId="41" fontId="7" fillId="2" borderId="53" xfId="0" applyNumberFormat="1" applyFont="1" applyFill="1" applyBorder="1" applyAlignment="1">
      <alignment horizontal="right" vertical="center"/>
    </xf>
    <xf numFmtId="177" fontId="32" fillId="2" borderId="75" xfId="1" applyNumberFormat="1" applyFont="1" applyFill="1" applyBorder="1" applyAlignment="1">
      <alignment horizontal="center" vertical="center" wrapText="1"/>
    </xf>
    <xf numFmtId="177" fontId="32" fillId="2" borderId="64" xfId="1" applyNumberFormat="1" applyFont="1" applyFill="1" applyBorder="1" applyAlignment="1">
      <alignment horizontal="center" vertical="center" wrapText="1"/>
    </xf>
    <xf numFmtId="177" fontId="32" fillId="2" borderId="71" xfId="1" applyNumberFormat="1" applyFont="1" applyFill="1" applyBorder="1" applyAlignment="1">
      <alignment horizontal="center" vertical="center" wrapText="1"/>
    </xf>
    <xf numFmtId="177" fontId="32" fillId="2" borderId="57" xfId="1" applyNumberFormat="1" applyFont="1" applyFill="1" applyBorder="1" applyAlignment="1">
      <alignment horizontal="center" vertical="center" wrapText="1"/>
    </xf>
    <xf numFmtId="177" fontId="32" fillId="2" borderId="22" xfId="1" applyNumberFormat="1" applyFont="1" applyFill="1" applyBorder="1" applyAlignment="1">
      <alignment horizontal="center" vertical="center" wrapText="1"/>
    </xf>
    <xf numFmtId="0" fontId="6" fillId="2" borderId="80" xfId="0" applyFont="1" applyFill="1" applyBorder="1" applyAlignment="1">
      <alignment horizontal="left" wrapText="1"/>
    </xf>
    <xf numFmtId="176" fontId="6" fillId="2" borderId="71" xfId="0" applyNumberFormat="1" applyFont="1" applyFill="1" applyBorder="1" applyAlignment="1">
      <alignment horizontal="right" vertical="center"/>
    </xf>
    <xf numFmtId="41" fontId="7" fillId="2" borderId="115" xfId="0" applyNumberFormat="1" applyFont="1" applyFill="1" applyBorder="1" applyAlignment="1">
      <alignment horizontal="right" vertical="center"/>
    </xf>
    <xf numFmtId="41" fontId="7" fillId="2" borderId="50" xfId="0" applyNumberFormat="1" applyFont="1" applyFill="1" applyBorder="1" applyAlignment="1">
      <alignment horizontal="right" vertical="center"/>
    </xf>
    <xf numFmtId="41" fontId="6" fillId="4" borderId="85" xfId="0" applyNumberFormat="1" applyFont="1" applyFill="1" applyBorder="1" applyAlignment="1">
      <alignment horizontal="right" vertical="center"/>
    </xf>
    <xf numFmtId="176" fontId="23" fillId="8" borderId="52" xfId="4" applyNumberFormat="1" applyFont="1" applyFill="1" applyBorder="1" applyAlignment="1">
      <alignment vertical="center" wrapText="1"/>
    </xf>
    <xf numFmtId="176" fontId="23" fillId="8" borderId="7" xfId="5" applyNumberFormat="1" applyFont="1" applyFill="1" applyBorder="1" applyAlignment="1">
      <alignment horizontal="right" vertical="center" wrapText="1"/>
    </xf>
    <xf numFmtId="176" fontId="23" fillId="8" borderId="23" xfId="5" applyNumberFormat="1" applyFont="1" applyFill="1" applyBorder="1" applyAlignment="1">
      <alignment horizontal="right" vertical="center" wrapText="1"/>
    </xf>
    <xf numFmtId="177" fontId="24" fillId="2" borderId="73" xfId="5" applyNumberFormat="1" applyFont="1" applyFill="1" applyBorder="1" applyAlignment="1">
      <alignment horizontal="right" vertical="center" wrapText="1"/>
    </xf>
    <xf numFmtId="177" fontId="24" fillId="2" borderId="1" xfId="5" applyNumberFormat="1" applyFont="1" applyFill="1" applyBorder="1" applyAlignment="1">
      <alignment horizontal="right" vertical="center" wrapText="1"/>
    </xf>
    <xf numFmtId="41" fontId="7" fillId="2" borderId="1" xfId="4" applyNumberFormat="1" applyFont="1" applyFill="1" applyBorder="1" applyAlignment="1">
      <alignment horizontal="right" vertical="center" wrapText="1"/>
    </xf>
    <xf numFmtId="41" fontId="7" fillId="2" borderId="2" xfId="5" applyNumberFormat="1" applyFont="1" applyFill="1" applyBorder="1" applyAlignment="1">
      <alignment vertical="top" wrapText="1"/>
    </xf>
    <xf numFmtId="41" fontId="24" fillId="2" borderId="2" xfId="5" applyNumberFormat="1" applyFont="1" applyFill="1" applyBorder="1" applyAlignment="1">
      <alignment vertical="center" wrapText="1"/>
    </xf>
    <xf numFmtId="41" fontId="24" fillId="2" borderId="46" xfId="5" applyNumberFormat="1" applyFont="1" applyFill="1" applyBorder="1" applyAlignment="1">
      <alignment vertical="center" wrapText="1"/>
    </xf>
    <xf numFmtId="41" fontId="24" fillId="2" borderId="25" xfId="5" applyNumberFormat="1" applyFont="1" applyFill="1" applyBorder="1" applyAlignment="1">
      <alignment vertical="center" wrapText="1"/>
    </xf>
    <xf numFmtId="0" fontId="16" fillId="10" borderId="64" xfId="0" applyFont="1" applyFill="1" applyBorder="1" applyAlignment="1">
      <alignment horizontal="left" vertical="center" wrapText="1"/>
    </xf>
    <xf numFmtId="0" fontId="16" fillId="10" borderId="64" xfId="0" applyFont="1" applyFill="1" applyBorder="1" applyAlignment="1">
      <alignment vertical="center" wrapText="1"/>
    </xf>
    <xf numFmtId="0" fontId="12" fillId="10" borderId="64" xfId="0" applyFont="1" applyFill="1" applyBorder="1" applyAlignment="1">
      <alignment vertical="center" wrapText="1"/>
    </xf>
    <xf numFmtId="0" fontId="16" fillId="10" borderId="2" xfId="0" applyFont="1" applyFill="1" applyBorder="1" applyAlignment="1">
      <alignment vertical="center" wrapText="1"/>
    </xf>
    <xf numFmtId="0" fontId="23" fillId="4" borderId="69" xfId="4" applyNumberFormat="1" applyFont="1" applyFill="1" applyBorder="1" applyAlignment="1">
      <alignment horizontal="center" vertical="center" wrapText="1"/>
    </xf>
    <xf numFmtId="0" fontId="23" fillId="4" borderId="70" xfId="4" applyNumberFormat="1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left" vertical="top" wrapText="1"/>
    </xf>
    <xf numFmtId="0" fontId="7" fillId="2" borderId="63" xfId="0" applyFont="1" applyFill="1" applyBorder="1" applyAlignment="1">
      <alignment horizontal="left" vertical="top" wrapText="1"/>
    </xf>
    <xf numFmtId="0" fontId="6" fillId="2" borderId="7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0" fontId="6" fillId="2" borderId="49" xfId="0" applyFont="1" applyFill="1" applyBorder="1" applyAlignment="1">
      <alignment horizontal="left" vertical="top"/>
    </xf>
    <xf numFmtId="0" fontId="7" fillId="2" borderId="65" xfId="0" applyFont="1" applyFill="1" applyBorder="1" applyAlignment="1">
      <alignment horizontal="left" vertical="top" wrapText="1"/>
    </xf>
    <xf numFmtId="0" fontId="6" fillId="2" borderId="80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/>
    </xf>
    <xf numFmtId="0" fontId="7" fillId="2" borderId="38" xfId="0" applyFont="1" applyFill="1" applyBorder="1" applyAlignment="1">
      <alignment horizontal="left" vertical="top" wrapText="1"/>
    </xf>
    <xf numFmtId="0" fontId="7" fillId="2" borderId="102" xfId="4" applyNumberFormat="1" applyFont="1" applyFill="1" applyBorder="1" applyAlignment="1">
      <alignment horizontal="left" vertical="top" wrapText="1"/>
    </xf>
    <xf numFmtId="0" fontId="7" fillId="2" borderId="1" xfId="4" applyNumberFormat="1" applyFont="1" applyFill="1" applyBorder="1" applyAlignment="1">
      <alignment horizontal="left" vertical="top" wrapText="1"/>
    </xf>
    <xf numFmtId="41" fontId="7" fillId="2" borderId="101" xfId="4" applyNumberFormat="1" applyFont="1" applyFill="1" applyBorder="1" applyAlignment="1">
      <alignment horizontal="right" vertical="top" wrapText="1"/>
    </xf>
    <xf numFmtId="41" fontId="24" fillId="2" borderId="42" xfId="5" applyNumberFormat="1" applyFont="1" applyFill="1" applyBorder="1" applyAlignment="1">
      <alignment vertical="top" wrapText="1"/>
    </xf>
    <xf numFmtId="41" fontId="24" fillId="2" borderId="1" xfId="4" applyNumberFormat="1" applyFont="1" applyFill="1" applyBorder="1" applyAlignment="1">
      <alignment horizontal="right" vertical="top" wrapText="1"/>
    </xf>
    <xf numFmtId="41" fontId="24" fillId="2" borderId="1" xfId="5" applyNumberFormat="1" applyFont="1" applyFill="1" applyBorder="1" applyAlignment="1">
      <alignment horizontal="right" vertical="top" wrapText="1"/>
    </xf>
    <xf numFmtId="41" fontId="24" fillId="2" borderId="93" xfId="5" applyNumberFormat="1" applyFont="1" applyFill="1" applyBorder="1" applyAlignment="1">
      <alignment vertical="top" wrapText="1"/>
    </xf>
    <xf numFmtId="41" fontId="24" fillId="2" borderId="63" xfId="4" applyNumberFormat="1" applyFont="1" applyFill="1" applyBorder="1" applyAlignment="1">
      <alignment horizontal="right" vertical="top" wrapText="1"/>
    </xf>
    <xf numFmtId="41" fontId="24" fillId="2" borderId="120" xfId="5" applyNumberFormat="1" applyFont="1" applyFill="1" applyBorder="1" applyAlignment="1">
      <alignment vertical="top" wrapText="1"/>
    </xf>
    <xf numFmtId="41" fontId="23" fillId="2" borderId="121" xfId="5" applyNumberFormat="1" applyFont="1" applyFill="1" applyBorder="1" applyAlignment="1">
      <alignment vertical="top" wrapText="1"/>
    </xf>
    <xf numFmtId="41" fontId="24" fillId="2" borderId="73" xfId="5" applyNumberFormat="1" applyFont="1" applyFill="1" applyBorder="1" applyAlignment="1">
      <alignment horizontal="right" vertical="top" wrapText="1"/>
    </xf>
    <xf numFmtId="41" fontId="36" fillId="2" borderId="33" xfId="5" applyNumberFormat="1" applyFont="1" applyFill="1" applyBorder="1" applyAlignment="1">
      <alignment vertical="top" wrapText="1"/>
    </xf>
    <xf numFmtId="41" fontId="23" fillId="8" borderId="87" xfId="5" applyNumberFormat="1" applyFont="1" applyFill="1" applyBorder="1" applyAlignment="1">
      <alignment horizontal="right" vertical="top" wrapText="1"/>
    </xf>
    <xf numFmtId="177" fontId="24" fillId="2" borderId="6" xfId="5" applyNumberFormat="1" applyFont="1" applyFill="1" applyBorder="1" applyAlignment="1">
      <alignment horizontal="right" vertical="top" wrapText="1"/>
    </xf>
    <xf numFmtId="0" fontId="16" fillId="10" borderId="95" xfId="0" applyFont="1" applyFill="1" applyBorder="1" applyAlignment="1">
      <alignment horizontal="left" vertical="top" wrapText="1"/>
    </xf>
    <xf numFmtId="0" fontId="16" fillId="10" borderId="95" xfId="0" applyFont="1" applyFill="1" applyBorder="1" applyAlignment="1">
      <alignment vertical="top" wrapText="1"/>
    </xf>
    <xf numFmtId="0" fontId="12" fillId="10" borderId="95" xfId="0" applyFont="1" applyFill="1" applyBorder="1" applyAlignment="1">
      <alignment vertical="top" wrapText="1"/>
    </xf>
    <xf numFmtId="176" fontId="23" fillId="2" borderId="84" xfId="4" applyNumberFormat="1" applyFont="1" applyFill="1" applyBorder="1" applyAlignment="1">
      <alignment horizontal="right" vertical="top" wrapText="1"/>
    </xf>
    <xf numFmtId="176" fontId="23" fillId="2" borderId="71" xfId="5" applyNumberFormat="1" applyFont="1" applyFill="1" applyBorder="1" applyAlignment="1">
      <alignment horizontal="right" vertical="top" wrapText="1"/>
    </xf>
    <xf numFmtId="176" fontId="16" fillId="10" borderId="81" xfId="0" applyNumberFormat="1" applyFont="1" applyFill="1" applyBorder="1" applyAlignment="1">
      <alignment vertical="top"/>
    </xf>
    <xf numFmtId="0" fontId="16" fillId="10" borderId="117" xfId="0" applyFont="1" applyFill="1" applyBorder="1" applyAlignment="1">
      <alignment vertical="top" wrapText="1"/>
    </xf>
    <xf numFmtId="176" fontId="16" fillId="10" borderId="37" xfId="0" applyNumberFormat="1" applyFont="1" applyFill="1" applyBorder="1" applyAlignment="1">
      <alignment vertical="top"/>
    </xf>
    <xf numFmtId="41" fontId="23" fillId="2" borderId="71" xfId="5" applyNumberFormat="1" applyFont="1" applyFill="1" applyBorder="1" applyAlignment="1">
      <alignment horizontal="right" vertical="top" wrapText="1"/>
    </xf>
    <xf numFmtId="177" fontId="24" fillId="2" borderId="59" xfId="5" applyNumberFormat="1" applyFont="1" applyFill="1" applyBorder="1" applyAlignment="1">
      <alignment horizontal="right" vertical="top" wrapText="1"/>
    </xf>
    <xf numFmtId="0" fontId="12" fillId="10" borderId="96" xfId="0" applyFont="1" applyFill="1" applyBorder="1" applyAlignment="1">
      <alignment vertical="top" wrapText="1"/>
    </xf>
    <xf numFmtId="0" fontId="7" fillId="2" borderId="73" xfId="0" applyFont="1" applyFill="1" applyBorder="1" applyAlignment="1">
      <alignment horizontal="left" vertical="top" wrapText="1"/>
    </xf>
    <xf numFmtId="0" fontId="7" fillId="2" borderId="63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0" fontId="6" fillId="2" borderId="49" xfId="0" applyFont="1" applyFill="1" applyBorder="1" applyAlignment="1">
      <alignment horizontal="left" vertical="top"/>
    </xf>
    <xf numFmtId="0" fontId="7" fillId="2" borderId="65" xfId="0" applyFont="1" applyFill="1" applyBorder="1" applyAlignment="1">
      <alignment horizontal="left" vertical="top" wrapText="1"/>
    </xf>
    <xf numFmtId="176" fontId="13" fillId="3" borderId="63" xfId="4" applyNumberFormat="1" applyFont="1" applyFill="1" applyBorder="1" applyAlignment="1">
      <alignment horizontal="left" vertical="top" wrapText="1"/>
    </xf>
    <xf numFmtId="176" fontId="13" fillId="3" borderId="1" xfId="4" applyNumberFormat="1" applyFont="1" applyFill="1" applyBorder="1" applyAlignment="1">
      <alignment horizontal="left" vertical="top" wrapText="1"/>
    </xf>
    <xf numFmtId="176" fontId="13" fillId="3" borderId="73" xfId="4" applyNumberFormat="1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/>
    </xf>
    <xf numFmtId="176" fontId="13" fillId="0" borderId="63" xfId="4" applyNumberFormat="1" applyFont="1" applyFill="1" applyBorder="1" applyAlignment="1">
      <alignment horizontal="left" vertical="top" wrapText="1"/>
    </xf>
    <xf numFmtId="176" fontId="18" fillId="4" borderId="70" xfId="4" applyNumberFormat="1" applyFont="1" applyFill="1" applyBorder="1" applyAlignment="1">
      <alignment horizontal="left" vertical="top" wrapText="1"/>
    </xf>
    <xf numFmtId="176" fontId="13" fillId="3" borderId="3" xfId="4" applyNumberFormat="1" applyFont="1" applyFill="1" applyBorder="1" applyAlignment="1">
      <alignment horizontal="left" vertical="top" wrapText="1"/>
    </xf>
    <xf numFmtId="176" fontId="13" fillId="3" borderId="8" xfId="4" applyNumberFormat="1" applyFont="1" applyFill="1" applyBorder="1" applyAlignment="1">
      <alignment horizontal="left" vertical="top" wrapText="1"/>
    </xf>
    <xf numFmtId="176" fontId="13" fillId="0" borderId="8" xfId="4" applyNumberFormat="1" applyFont="1" applyFill="1" applyBorder="1" applyAlignment="1">
      <alignment horizontal="left" vertical="top" wrapText="1"/>
    </xf>
    <xf numFmtId="176" fontId="13" fillId="2" borderId="32" xfId="4" applyNumberFormat="1" applyFont="1" applyFill="1" applyBorder="1" applyAlignment="1">
      <alignment horizontal="left" vertical="top" wrapText="1"/>
    </xf>
    <xf numFmtId="176" fontId="13" fillId="0" borderId="1" xfId="4" applyNumberFormat="1" applyFont="1" applyFill="1" applyBorder="1" applyAlignment="1">
      <alignment horizontal="left" vertical="top" wrapText="1"/>
    </xf>
    <xf numFmtId="176" fontId="13" fillId="0" borderId="32" xfId="4" applyNumberFormat="1" applyFont="1" applyFill="1" applyBorder="1" applyAlignment="1">
      <alignment horizontal="left" vertical="top" wrapText="1"/>
    </xf>
    <xf numFmtId="176" fontId="13" fillId="2" borderId="73" xfId="4" applyNumberFormat="1" applyFont="1" applyFill="1" applyBorder="1" applyAlignment="1">
      <alignment horizontal="left" vertical="top" wrapText="1"/>
    </xf>
    <xf numFmtId="176" fontId="13" fillId="2" borderId="1" xfId="4" applyNumberFormat="1" applyFont="1" applyFill="1" applyBorder="1" applyAlignment="1">
      <alignment horizontal="left" vertical="top" wrapText="1"/>
    </xf>
    <xf numFmtId="0" fontId="19" fillId="2" borderId="10" xfId="4" applyNumberFormat="1" applyFont="1" applyFill="1" applyBorder="1" applyAlignment="1">
      <alignment horizontal="left" vertical="top" wrapText="1"/>
    </xf>
    <xf numFmtId="0" fontId="35" fillId="0" borderId="94" xfId="0" applyFont="1" applyBorder="1" applyAlignment="1">
      <alignment horizontal="left" vertical="top" wrapText="1"/>
    </xf>
    <xf numFmtId="0" fontId="5" fillId="11" borderId="5" xfId="0" applyFont="1" applyFill="1" applyBorder="1" applyAlignment="1">
      <alignment horizontal="center" vertical="center"/>
    </xf>
    <xf numFmtId="0" fontId="17" fillId="11" borderId="71" xfId="0" applyFont="1" applyFill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17" fillId="9" borderId="71" xfId="0" applyFont="1" applyFill="1" applyBorder="1">
      <alignment vertical="center"/>
    </xf>
    <xf numFmtId="0" fontId="5" fillId="0" borderId="9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7" fillId="0" borderId="58" xfId="0" applyFont="1" applyBorder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17" fillId="2" borderId="58" xfId="0" applyFont="1" applyFill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0" fontId="17" fillId="5" borderId="23" xfId="0" applyFont="1" applyFill="1" applyBorder="1">
      <alignment vertical="center"/>
    </xf>
    <xf numFmtId="0" fontId="17" fillId="6" borderId="58" xfId="0" applyFont="1" applyFill="1" applyBorder="1" applyAlignment="1">
      <alignment horizontal="center" vertical="center"/>
    </xf>
    <xf numFmtId="0" fontId="35" fillId="3" borderId="63" xfId="14" applyFont="1" applyFill="1" applyBorder="1" applyAlignment="1">
      <alignment vertical="top" wrapText="1"/>
    </xf>
    <xf numFmtId="176" fontId="13" fillId="0" borderId="68" xfId="4" applyNumberFormat="1" applyFont="1" applyFill="1" applyBorder="1" applyAlignment="1">
      <alignment horizontal="left" vertical="top" wrapText="1"/>
    </xf>
    <xf numFmtId="41" fontId="7" fillId="2" borderId="103" xfId="5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4" fillId="2" borderId="119" xfId="4" applyNumberFormat="1" applyFont="1" applyFill="1" applyBorder="1" applyAlignment="1">
      <alignment vertical="center" wrapText="1"/>
    </xf>
    <xf numFmtId="0" fontId="24" fillId="2" borderId="1" xfId="4" applyNumberFormat="1" applyFont="1" applyFill="1" applyBorder="1" applyAlignment="1">
      <alignment vertical="center" wrapText="1"/>
    </xf>
    <xf numFmtId="0" fontId="24" fillId="2" borderId="63" xfId="4" applyNumberFormat="1" applyFont="1" applyFill="1" applyBorder="1" applyAlignment="1">
      <alignment vertical="center" wrapText="1"/>
    </xf>
    <xf numFmtId="41" fontId="6" fillId="2" borderId="41" xfId="4" applyNumberFormat="1" applyFont="1" applyFill="1" applyBorder="1" applyAlignment="1">
      <alignment horizontal="right" vertical="center" wrapText="1"/>
    </xf>
    <xf numFmtId="177" fontId="6" fillId="2" borderId="35" xfId="5" applyNumberFormat="1" applyFont="1" applyFill="1" applyBorder="1" applyAlignment="1">
      <alignment horizontal="right" vertical="center" wrapText="1"/>
    </xf>
    <xf numFmtId="41" fontId="23" fillId="2" borderId="41" xfId="4" applyNumberFormat="1" applyFont="1" applyFill="1" applyBorder="1" applyAlignment="1">
      <alignment horizontal="right" vertical="top" wrapText="1"/>
    </xf>
    <xf numFmtId="41" fontId="23" fillId="2" borderId="70" xfId="4" applyNumberFormat="1" applyFont="1" applyFill="1" applyBorder="1" applyAlignment="1">
      <alignment horizontal="right" vertical="top" wrapText="1"/>
    </xf>
    <xf numFmtId="41" fontId="23" fillId="2" borderId="28" xfId="4" applyNumberFormat="1" applyFont="1" applyFill="1" applyBorder="1" applyAlignment="1">
      <alignment horizontal="right" vertical="center" wrapText="1"/>
    </xf>
    <xf numFmtId="176" fontId="6" fillId="2" borderId="41" xfId="5" applyNumberFormat="1" applyFont="1" applyFill="1" applyBorder="1" applyAlignment="1">
      <alignment horizontal="right" vertical="center" wrapText="1"/>
    </xf>
    <xf numFmtId="41" fontId="7" fillId="2" borderId="73" xfId="5" applyNumberFormat="1" applyFont="1" applyFill="1" applyBorder="1" applyAlignment="1">
      <alignment horizontal="right" vertical="center" wrapText="1"/>
    </xf>
    <xf numFmtId="41" fontId="23" fillId="8" borderId="85" xfId="4" applyNumberFormat="1" applyFont="1" applyFill="1" applyBorder="1" applyAlignment="1">
      <alignment horizontal="right" vertical="top" wrapText="1"/>
    </xf>
    <xf numFmtId="177" fontId="6" fillId="8" borderId="86" xfId="5" applyNumberFormat="1" applyFont="1" applyFill="1" applyBorder="1" applyAlignment="1">
      <alignment horizontal="right" vertical="top" wrapText="1"/>
    </xf>
    <xf numFmtId="177" fontId="24" fillId="2" borderId="122" xfId="5" applyNumberFormat="1" applyFont="1" applyFill="1" applyBorder="1" applyAlignment="1">
      <alignment horizontal="right" vertical="top" wrapText="1"/>
    </xf>
    <xf numFmtId="177" fontId="24" fillId="2" borderId="123" xfId="5" applyNumberFormat="1" applyFont="1" applyFill="1" applyBorder="1" applyAlignment="1">
      <alignment horizontal="right" vertical="top" wrapText="1"/>
    </xf>
    <xf numFmtId="177" fontId="24" fillId="2" borderId="70" xfId="5" applyNumberFormat="1" applyFont="1" applyFill="1" applyBorder="1" applyAlignment="1">
      <alignment horizontal="right" vertical="top" wrapText="1"/>
    </xf>
    <xf numFmtId="177" fontId="24" fillId="2" borderId="122" xfId="5" applyNumberFormat="1" applyFont="1" applyFill="1" applyBorder="1" applyAlignment="1">
      <alignment horizontal="right" vertical="center" wrapText="1"/>
    </xf>
    <xf numFmtId="177" fontId="24" fillId="2" borderId="124" xfId="5" applyNumberFormat="1" applyFont="1" applyFill="1" applyBorder="1" applyAlignment="1">
      <alignment horizontal="right" vertical="center" wrapText="1"/>
    </xf>
    <xf numFmtId="41" fontId="16" fillId="10" borderId="1" xfId="0" applyNumberFormat="1" applyFont="1" applyFill="1" applyBorder="1" applyAlignment="1">
      <alignment vertical="center"/>
    </xf>
    <xf numFmtId="41" fontId="16" fillId="10" borderId="63" xfId="0" applyNumberFormat="1" applyFont="1" applyFill="1" applyBorder="1" applyAlignment="1">
      <alignment vertical="center"/>
    </xf>
    <xf numFmtId="41" fontId="23" fillId="2" borderId="116" xfId="4" applyNumberFormat="1" applyFont="1" applyFill="1" applyBorder="1" applyAlignment="1">
      <alignment horizontal="right" vertical="center" wrapText="1"/>
    </xf>
    <xf numFmtId="41" fontId="23" fillId="2" borderId="84" xfId="4" applyNumberFormat="1" applyFont="1" applyFill="1" applyBorder="1" applyAlignment="1">
      <alignment horizontal="right" vertical="top" wrapText="1"/>
    </xf>
    <xf numFmtId="41" fontId="16" fillId="10" borderId="1" xfId="0" applyNumberFormat="1" applyFont="1" applyFill="1" applyBorder="1" applyAlignment="1">
      <alignment vertical="top"/>
    </xf>
    <xf numFmtId="41" fontId="16" fillId="10" borderId="63" xfId="0" applyNumberFormat="1" applyFont="1" applyFill="1" applyBorder="1" applyAlignment="1">
      <alignment vertical="top"/>
    </xf>
    <xf numFmtId="41" fontId="7" fillId="10" borderId="1" xfId="0" applyNumberFormat="1" applyFont="1" applyFill="1" applyBorder="1" applyAlignment="1">
      <alignment vertical="center"/>
    </xf>
    <xf numFmtId="41" fontId="23" fillId="2" borderId="84" xfId="4" applyNumberFormat="1" applyFont="1" applyFill="1" applyBorder="1" applyAlignment="1">
      <alignment horizontal="right" vertical="center" wrapText="1"/>
    </xf>
    <xf numFmtId="41" fontId="23" fillId="2" borderId="70" xfId="4" applyNumberFormat="1" applyFont="1" applyFill="1" applyBorder="1" applyAlignment="1">
      <alignment horizontal="right" vertical="center" wrapText="1"/>
    </xf>
    <xf numFmtId="41" fontId="23" fillId="2" borderId="41" xfId="4" applyNumberFormat="1" applyFont="1" applyFill="1" applyBorder="1" applyAlignment="1">
      <alignment horizontal="right" vertical="center" wrapText="1"/>
    </xf>
    <xf numFmtId="0" fontId="1" fillId="2" borderId="125" xfId="0" applyFont="1" applyFill="1" applyBorder="1" applyAlignment="1">
      <alignment horizontal="left" vertical="center"/>
    </xf>
    <xf numFmtId="0" fontId="1" fillId="2" borderId="126" xfId="0" applyFont="1" applyFill="1" applyBorder="1" applyAlignment="1">
      <alignment horizontal="left" vertical="center"/>
    </xf>
    <xf numFmtId="0" fontId="1" fillId="0" borderId="127" xfId="0" applyFont="1" applyBorder="1" applyAlignment="1">
      <alignment horizontal="left" vertical="center"/>
    </xf>
    <xf numFmtId="0" fontId="1" fillId="0" borderId="128" xfId="0" applyFont="1" applyBorder="1" applyAlignment="1">
      <alignment horizontal="left" vertical="center"/>
    </xf>
    <xf numFmtId="0" fontId="1" fillId="2" borderId="125" xfId="0" applyFont="1" applyFill="1" applyBorder="1">
      <alignment vertical="center"/>
    </xf>
    <xf numFmtId="0" fontId="1" fillId="2" borderId="129" xfId="0" applyFont="1" applyFill="1" applyBorder="1">
      <alignment vertical="center"/>
    </xf>
    <xf numFmtId="0" fontId="1" fillId="0" borderId="127" xfId="0" applyFont="1" applyBorder="1">
      <alignment vertical="center"/>
    </xf>
    <xf numFmtId="0" fontId="1" fillId="2" borderId="130" xfId="0" applyFont="1" applyFill="1" applyBorder="1">
      <alignment vertical="center"/>
    </xf>
    <xf numFmtId="0" fontId="1" fillId="2" borderId="128" xfId="0" applyFont="1" applyFill="1" applyBorder="1">
      <alignment vertical="center"/>
    </xf>
    <xf numFmtId="0" fontId="1" fillId="0" borderId="131" xfId="0" applyFont="1" applyBorder="1">
      <alignment vertical="center"/>
    </xf>
    <xf numFmtId="0" fontId="1" fillId="0" borderId="128" xfId="0" applyFont="1" applyBorder="1">
      <alignment vertical="center"/>
    </xf>
    <xf numFmtId="0" fontId="1" fillId="0" borderId="129" xfId="0" applyFont="1" applyBorder="1">
      <alignment vertical="center"/>
    </xf>
    <xf numFmtId="177" fontId="1" fillId="2" borderId="125" xfId="0" applyNumberFormat="1" applyFont="1" applyFill="1" applyBorder="1">
      <alignment vertical="center"/>
    </xf>
    <xf numFmtId="177" fontId="1" fillId="2" borderId="129" xfId="0" applyNumberFormat="1" applyFont="1" applyFill="1" applyBorder="1">
      <alignment vertical="center"/>
    </xf>
    <xf numFmtId="177" fontId="1" fillId="0" borderId="127" xfId="0" applyNumberFormat="1" applyFont="1" applyBorder="1">
      <alignment vertical="center"/>
    </xf>
    <xf numFmtId="0" fontId="1" fillId="2" borderId="132" xfId="0" applyFont="1" applyFill="1" applyBorder="1">
      <alignment vertical="center"/>
    </xf>
    <xf numFmtId="177" fontId="24" fillId="2" borderId="68" xfId="5" applyNumberFormat="1" applyFont="1" applyFill="1" applyBorder="1" applyAlignment="1">
      <alignment horizontal="right" vertical="center" wrapText="1"/>
    </xf>
    <xf numFmtId="177" fontId="23" fillId="8" borderId="89" xfId="5" applyNumberFormat="1" applyFont="1" applyFill="1" applyBorder="1" applyAlignment="1">
      <alignment horizontal="right" vertical="center" wrapText="1"/>
    </xf>
    <xf numFmtId="41" fontId="1" fillId="2" borderId="129" xfId="0" applyNumberFormat="1" applyFont="1" applyFill="1" applyBorder="1">
      <alignment vertical="center"/>
    </xf>
    <xf numFmtId="176" fontId="6" fillId="2" borderId="70" xfId="5" applyNumberFormat="1" applyFont="1" applyFill="1" applyBorder="1" applyAlignment="1">
      <alignment horizontal="right" vertical="center" wrapText="1"/>
    </xf>
    <xf numFmtId="0" fontId="24" fillId="2" borderId="26" xfId="4" applyNumberFormat="1" applyFont="1" applyFill="1" applyBorder="1" applyAlignment="1">
      <alignment vertical="top" wrapText="1"/>
    </xf>
    <xf numFmtId="0" fontId="24" fillId="2" borderId="6" xfId="4" applyNumberFormat="1" applyFont="1" applyFill="1" applyBorder="1" applyAlignment="1">
      <alignment vertical="top" wrapText="1"/>
    </xf>
    <xf numFmtId="176" fontId="7" fillId="2" borderId="0" xfId="5" applyNumberFormat="1" applyFont="1" applyFill="1" applyBorder="1" applyAlignment="1">
      <alignment horizontal="right" vertical="center" wrapText="1"/>
    </xf>
    <xf numFmtId="176" fontId="7" fillId="2" borderId="134" xfId="5" applyNumberFormat="1" applyFont="1" applyFill="1" applyBorder="1" applyAlignment="1">
      <alignment horizontal="right" vertical="center" wrapText="1"/>
    </xf>
    <xf numFmtId="176" fontId="6" fillId="2" borderId="50" xfId="5" applyNumberFormat="1" applyFont="1" applyFill="1" applyBorder="1" applyAlignment="1">
      <alignment horizontal="right" vertical="center" wrapText="1"/>
    </xf>
    <xf numFmtId="41" fontId="36" fillId="2" borderId="135" xfId="5" applyNumberFormat="1" applyFont="1" applyFill="1" applyBorder="1" applyAlignment="1">
      <alignment vertical="center" wrapText="1"/>
    </xf>
    <xf numFmtId="176" fontId="6" fillId="8" borderId="85" xfId="5" applyNumberFormat="1" applyFont="1" applyFill="1" applyBorder="1" applyAlignment="1">
      <alignment horizontal="right" vertical="center" wrapText="1"/>
    </xf>
    <xf numFmtId="177" fontId="6" fillId="8" borderId="50" xfId="5" applyNumberFormat="1" applyFont="1" applyFill="1" applyBorder="1" applyAlignment="1">
      <alignment horizontal="right" vertical="center" wrapText="1"/>
    </xf>
    <xf numFmtId="41" fontId="23" fillId="8" borderId="85" xfId="4" applyNumberFormat="1" applyFont="1" applyFill="1" applyBorder="1" applyAlignment="1">
      <alignment horizontal="right" vertical="center" wrapText="1"/>
    </xf>
    <xf numFmtId="0" fontId="7" fillId="2" borderId="136" xfId="0" applyNumberFormat="1" applyFont="1" applyFill="1" applyBorder="1" applyAlignment="1">
      <alignment horizontal="right" vertical="center"/>
    </xf>
    <xf numFmtId="41" fontId="7" fillId="2" borderId="122" xfId="0" applyNumberFormat="1" applyFont="1" applyFill="1" applyBorder="1" applyAlignment="1">
      <alignment horizontal="right" vertical="center"/>
    </xf>
    <xf numFmtId="177" fontId="7" fillId="2" borderId="12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top"/>
    </xf>
    <xf numFmtId="177" fontId="7" fillId="2" borderId="81" xfId="0" applyNumberFormat="1" applyFont="1" applyFill="1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right" vertical="center"/>
    </xf>
    <xf numFmtId="41" fontId="7" fillId="2" borderId="138" xfId="0" applyNumberFormat="1" applyFont="1" applyFill="1" applyBorder="1" applyAlignment="1">
      <alignment horizontal="right" vertical="center"/>
    </xf>
    <xf numFmtId="41" fontId="7" fillId="2" borderId="65" xfId="0" applyNumberFormat="1" applyFont="1" applyFill="1" applyBorder="1" applyAlignment="1">
      <alignment horizontal="right" vertical="center"/>
    </xf>
    <xf numFmtId="176" fontId="6" fillId="2" borderId="22" xfId="0" applyNumberFormat="1" applyFont="1" applyFill="1" applyBorder="1" applyAlignment="1">
      <alignment horizontal="right" vertical="center"/>
    </xf>
    <xf numFmtId="41" fontId="7" fillId="2" borderId="30" xfId="0" applyNumberFormat="1" applyFont="1" applyFill="1" applyBorder="1" applyAlignment="1">
      <alignment horizontal="right" vertical="center"/>
    </xf>
    <xf numFmtId="41" fontId="7" fillId="2" borderId="59" xfId="0" applyNumberFormat="1" applyFont="1" applyFill="1" applyBorder="1" applyAlignment="1">
      <alignment horizontal="right" vertical="center"/>
    </xf>
    <xf numFmtId="176" fontId="6" fillId="2" borderId="57" xfId="0" applyNumberFormat="1" applyFont="1" applyFill="1" applyBorder="1" applyAlignment="1">
      <alignment horizontal="right" vertical="center"/>
    </xf>
    <xf numFmtId="177" fontId="7" fillId="2" borderId="70" xfId="0" applyNumberFormat="1" applyFont="1" applyFill="1" applyBorder="1" applyAlignment="1">
      <alignment horizontal="right" vertical="center"/>
    </xf>
    <xf numFmtId="41" fontId="13" fillId="0" borderId="68" xfId="4" applyNumberFormat="1" applyFont="1" applyFill="1" applyBorder="1" applyAlignment="1">
      <alignment horizontal="right" vertical="center" wrapText="1"/>
    </xf>
    <xf numFmtId="176" fontId="13" fillId="0" borderId="68" xfId="5" applyNumberFormat="1" applyFont="1" applyFill="1" applyBorder="1" applyAlignment="1">
      <alignment horizontal="right" vertical="center" wrapText="1"/>
    </xf>
    <xf numFmtId="176" fontId="13" fillId="0" borderId="22" xfId="5" applyNumberFormat="1" applyFont="1" applyFill="1" applyBorder="1" applyAlignment="1">
      <alignment horizontal="right" vertical="center" wrapText="1"/>
    </xf>
    <xf numFmtId="0" fontId="23" fillId="4" borderId="71" xfId="4" applyNumberFormat="1" applyFont="1" applyFill="1" applyBorder="1" applyAlignment="1">
      <alignment horizontal="center" vertical="center" wrapText="1"/>
    </xf>
    <xf numFmtId="176" fontId="18" fillId="0" borderId="73" xfId="1" applyNumberFormat="1" applyFont="1" applyFill="1" applyBorder="1" applyAlignment="1">
      <alignment horizontal="right" vertical="center" wrapText="1"/>
    </xf>
    <xf numFmtId="176" fontId="13" fillId="0" borderId="1" xfId="4" applyNumberFormat="1" applyFont="1" applyFill="1" applyBorder="1" applyAlignment="1">
      <alignment vertical="top"/>
    </xf>
    <xf numFmtId="0" fontId="24" fillId="2" borderId="73" xfId="4" applyNumberFormat="1" applyFont="1" applyFill="1" applyBorder="1" applyAlignment="1">
      <alignment horizontal="left" vertical="top" wrapText="1"/>
    </xf>
    <xf numFmtId="41" fontId="27" fillId="0" borderId="73" xfId="0" applyNumberFormat="1" applyFont="1" applyBorder="1">
      <alignment vertical="center"/>
    </xf>
    <xf numFmtId="41" fontId="27" fillId="0" borderId="63" xfId="0" applyNumberFormat="1" applyFont="1" applyBorder="1">
      <alignment vertical="center"/>
    </xf>
    <xf numFmtId="177" fontId="27" fillId="0" borderId="73" xfId="0" applyNumberFormat="1" applyFont="1" applyBorder="1" applyAlignment="1">
      <alignment horizontal="right" vertical="center"/>
    </xf>
    <xf numFmtId="41" fontId="27" fillId="0" borderId="79" xfId="0" applyNumberFormat="1" applyFont="1" applyBorder="1">
      <alignment vertical="center"/>
    </xf>
    <xf numFmtId="0" fontId="7" fillId="2" borderId="7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63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/>
    </xf>
    <xf numFmtId="0" fontId="6" fillId="2" borderId="70" xfId="0" applyFont="1" applyFill="1" applyBorder="1" applyAlignment="1">
      <alignment horizontal="left" vertical="top" wrapText="1"/>
    </xf>
    <xf numFmtId="176" fontId="13" fillId="3" borderId="73" xfId="4" applyNumberFormat="1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vertical="top" wrapText="1"/>
    </xf>
    <xf numFmtId="0" fontId="7" fillId="2" borderId="63" xfId="0" applyFont="1" applyFill="1" applyBorder="1" applyAlignment="1">
      <alignment vertical="top" wrapText="1"/>
    </xf>
    <xf numFmtId="0" fontId="24" fillId="2" borderId="73" xfId="4" applyNumberFormat="1" applyFont="1" applyFill="1" applyBorder="1" applyAlignment="1">
      <alignment vertical="center"/>
    </xf>
    <xf numFmtId="41" fontId="24" fillId="2" borderId="73" xfId="4" applyNumberFormat="1" applyFont="1" applyFill="1" applyBorder="1" applyAlignment="1">
      <alignment horizontal="right" vertical="top" wrapText="1"/>
    </xf>
    <xf numFmtId="177" fontId="6" fillId="2" borderId="7" xfId="5" applyNumberFormat="1" applyFont="1" applyFill="1" applyBorder="1" applyAlignment="1">
      <alignment horizontal="right" vertical="center" wrapText="1"/>
    </xf>
    <xf numFmtId="41" fontId="23" fillId="2" borderId="16" xfId="5" applyNumberFormat="1" applyFont="1" applyFill="1" applyBorder="1" applyAlignment="1">
      <alignment vertical="center" wrapText="1"/>
    </xf>
    <xf numFmtId="41" fontId="23" fillId="2" borderId="25" xfId="5" applyNumberFormat="1" applyFont="1" applyFill="1" applyBorder="1" applyAlignment="1">
      <alignment vertical="center" wrapText="1"/>
    </xf>
    <xf numFmtId="0" fontId="24" fillId="2" borderId="32" xfId="4" applyNumberFormat="1" applyFont="1" applyFill="1" applyBorder="1" applyAlignment="1">
      <alignment horizontal="left" vertical="top" wrapText="1"/>
    </xf>
    <xf numFmtId="41" fontId="23" fillId="2" borderId="1" xfId="4" applyNumberFormat="1" applyFont="1" applyFill="1" applyBorder="1" applyAlignment="1">
      <alignment horizontal="right" vertical="center" wrapText="1"/>
    </xf>
    <xf numFmtId="41" fontId="23" fillId="2" borderId="7" xfId="4" applyNumberFormat="1" applyFont="1" applyFill="1" applyBorder="1" applyAlignment="1">
      <alignment horizontal="right" vertical="center" wrapText="1"/>
    </xf>
    <xf numFmtId="177" fontId="6" fillId="2" borderId="70" xfId="5" applyNumberFormat="1" applyFont="1" applyFill="1" applyBorder="1" applyAlignment="1">
      <alignment horizontal="right" vertical="center" wrapText="1"/>
    </xf>
    <xf numFmtId="41" fontId="23" fillId="2" borderId="144" xfId="5" applyNumberFormat="1" applyFont="1" applyFill="1" applyBorder="1" applyAlignment="1">
      <alignment vertical="center" wrapText="1"/>
    </xf>
    <xf numFmtId="176" fontId="7" fillId="2" borderId="3" xfId="5" applyNumberFormat="1" applyFont="1" applyFill="1" applyBorder="1" applyAlignment="1">
      <alignment horizontal="right" vertical="center" wrapText="1"/>
    </xf>
    <xf numFmtId="176" fontId="7" fillId="2" borderId="122" xfId="5" applyNumberFormat="1" applyFont="1" applyFill="1" applyBorder="1" applyAlignment="1">
      <alignment horizontal="right" vertical="center" wrapText="1"/>
    </xf>
    <xf numFmtId="41" fontId="36" fillId="2" borderId="145" xfId="5" applyNumberFormat="1" applyFont="1" applyFill="1" applyBorder="1" applyAlignment="1">
      <alignment vertical="center" wrapText="1"/>
    </xf>
    <xf numFmtId="0" fontId="7" fillId="2" borderId="30" xfId="0" applyNumberFormat="1" applyFont="1" applyFill="1" applyBorder="1" applyAlignment="1">
      <alignment horizontal="right" vertical="center"/>
    </xf>
    <xf numFmtId="41" fontId="29" fillId="2" borderId="1" xfId="1" applyFont="1" applyFill="1" applyBorder="1" applyAlignment="1">
      <alignment horizontal="center" vertical="center" wrapText="1"/>
    </xf>
    <xf numFmtId="177" fontId="32" fillId="2" borderId="2" xfId="1" applyNumberFormat="1" applyFont="1" applyFill="1" applyBorder="1" applyAlignment="1">
      <alignment horizontal="center" vertical="center" wrapText="1"/>
    </xf>
    <xf numFmtId="9" fontId="7" fillId="2" borderId="30" xfId="0" applyNumberFormat="1" applyFont="1" applyFill="1" applyBorder="1" applyAlignment="1">
      <alignment horizontal="right" vertical="center"/>
    </xf>
    <xf numFmtId="177" fontId="29" fillId="2" borderId="73" xfId="1" applyNumberFormat="1" applyFont="1" applyFill="1" applyBorder="1" applyAlignment="1">
      <alignment horizontal="right" vertical="center" wrapText="1"/>
    </xf>
    <xf numFmtId="177" fontId="29" fillId="2" borderId="1" xfId="1" applyNumberFormat="1" applyFont="1" applyFill="1" applyBorder="1" applyAlignment="1">
      <alignment horizontal="right" vertical="center" wrapText="1"/>
    </xf>
    <xf numFmtId="177" fontId="29" fillId="2" borderId="7" xfId="1" applyNumberFormat="1" applyFont="1" applyFill="1" applyBorder="1" applyAlignment="1">
      <alignment horizontal="right" vertical="center" wrapText="1"/>
    </xf>
    <xf numFmtId="177" fontId="43" fillId="2" borderId="73" xfId="1" applyNumberFormat="1" applyFont="1" applyFill="1" applyBorder="1" applyAlignment="1">
      <alignment horizontal="right" vertical="center" wrapText="1"/>
    </xf>
    <xf numFmtId="177" fontId="27" fillId="0" borderId="79" xfId="0" applyNumberFormat="1" applyFont="1" applyBorder="1" applyAlignment="1">
      <alignment horizontal="right" vertical="center"/>
    </xf>
    <xf numFmtId="41" fontId="5" fillId="9" borderId="70" xfId="0" applyNumberFormat="1" applyFont="1" applyFill="1" applyBorder="1">
      <alignment vertical="center"/>
    </xf>
    <xf numFmtId="176" fontId="5" fillId="9" borderId="70" xfId="0" applyNumberFormat="1" applyFont="1" applyFill="1" applyBorder="1">
      <alignment vertical="center"/>
    </xf>
    <xf numFmtId="177" fontId="5" fillId="9" borderId="70" xfId="0" applyNumberFormat="1" applyFont="1" applyFill="1" applyBorder="1" applyAlignment="1">
      <alignment horizontal="right" vertical="center"/>
    </xf>
    <xf numFmtId="41" fontId="5" fillId="6" borderId="79" xfId="0" applyNumberFormat="1" applyFont="1" applyFill="1" applyBorder="1" applyAlignment="1">
      <alignment horizontal="right" vertical="center"/>
    </xf>
    <xf numFmtId="177" fontId="5" fillId="6" borderId="79" xfId="0" applyNumberFormat="1" applyFont="1" applyFill="1" applyBorder="1" applyAlignment="1">
      <alignment horizontal="right" vertical="center"/>
    </xf>
    <xf numFmtId="41" fontId="5" fillId="5" borderId="7" xfId="0" applyNumberFormat="1" applyFont="1" applyFill="1" applyBorder="1">
      <alignment vertical="center"/>
    </xf>
    <xf numFmtId="177" fontId="5" fillId="5" borderId="7" xfId="0" applyNumberFormat="1" applyFont="1" applyFill="1" applyBorder="1" applyAlignment="1">
      <alignment horizontal="right" vertical="center"/>
    </xf>
    <xf numFmtId="0" fontId="16" fillId="10" borderId="97" xfId="0" applyFont="1" applyFill="1" applyBorder="1" applyAlignment="1">
      <alignment horizontal="left" vertical="top" wrapText="1"/>
    </xf>
    <xf numFmtId="0" fontId="23" fillId="4" borderId="69" xfId="4" applyNumberFormat="1" applyFont="1" applyFill="1" applyBorder="1" applyAlignment="1">
      <alignment horizontal="center" vertical="top" wrapText="1"/>
    </xf>
    <xf numFmtId="0" fontId="23" fillId="4" borderId="70" xfId="4" applyNumberFormat="1" applyFont="1" applyFill="1" applyBorder="1" applyAlignment="1">
      <alignment horizontal="center" vertical="top" wrapText="1"/>
    </xf>
    <xf numFmtId="176" fontId="7" fillId="2" borderId="64" xfId="0" applyNumberFormat="1" applyFont="1" applyFill="1" applyBorder="1" applyAlignment="1">
      <alignment horizontal="left" vertical="center"/>
    </xf>
    <xf numFmtId="176" fontId="7" fillId="2" borderId="2" xfId="0" applyNumberFormat="1" applyFont="1" applyFill="1" applyBorder="1" applyAlignment="1">
      <alignment horizontal="left" vertical="top" wrapText="1"/>
    </xf>
    <xf numFmtId="177" fontId="29" fillId="2" borderId="133" xfId="1" applyNumberFormat="1" applyFont="1" applyFill="1" applyBorder="1" applyAlignment="1">
      <alignment horizontal="right" vertical="center" wrapText="1"/>
    </xf>
    <xf numFmtId="177" fontId="29" fillId="2" borderId="104" xfId="1" applyNumberFormat="1" applyFont="1" applyFill="1" applyBorder="1" applyAlignment="1">
      <alignment horizontal="right" vertical="center" wrapText="1"/>
    </xf>
    <xf numFmtId="176" fontId="7" fillId="2" borderId="44" xfId="0" applyNumberFormat="1" applyFont="1" applyFill="1" applyBorder="1" applyAlignment="1">
      <alignment horizontal="left" vertical="center" wrapText="1"/>
    </xf>
    <xf numFmtId="41" fontId="6" fillId="2" borderId="70" xfId="0" applyNumberFormat="1" applyFont="1" applyFill="1" applyBorder="1" applyAlignment="1">
      <alignment horizontal="right" vertical="center"/>
    </xf>
    <xf numFmtId="41" fontId="6" fillId="2" borderId="41" xfId="0" applyNumberFormat="1" applyFont="1" applyFill="1" applyBorder="1" applyAlignment="1">
      <alignment horizontal="right" vertical="center"/>
    </xf>
    <xf numFmtId="177" fontId="32" fillId="2" borderId="133" xfId="1" applyNumberFormat="1" applyFont="1" applyFill="1" applyBorder="1" applyAlignment="1">
      <alignment horizontal="right" vertical="center" wrapText="1"/>
    </xf>
    <xf numFmtId="177" fontId="32" fillId="2" borderId="7" xfId="1" applyNumberFormat="1" applyFont="1" applyFill="1" applyBorder="1" applyAlignment="1">
      <alignment horizontal="right" vertical="center" wrapText="1"/>
    </xf>
    <xf numFmtId="177" fontId="6" fillId="4" borderId="86" xfId="0" applyNumberFormat="1" applyFont="1" applyFill="1" applyBorder="1" applyAlignment="1">
      <alignment horizontal="right" vertical="center"/>
    </xf>
    <xf numFmtId="176" fontId="6" fillId="4" borderId="87" xfId="0" applyNumberFormat="1" applyFont="1" applyFill="1" applyBorder="1" applyAlignment="1">
      <alignment horizontal="left" vertical="center"/>
    </xf>
    <xf numFmtId="41" fontId="43" fillId="2" borderId="63" xfId="1" applyFont="1" applyFill="1" applyBorder="1" applyAlignment="1">
      <alignment horizontal="right" vertical="center" wrapText="1"/>
    </xf>
    <xf numFmtId="41" fontId="43" fillId="2" borderId="73" xfId="1" applyFont="1" applyFill="1" applyBorder="1" applyAlignment="1">
      <alignment horizontal="right" vertical="center" wrapText="1"/>
    </xf>
    <xf numFmtId="177" fontId="43" fillId="2" borderId="64" xfId="1" applyNumberFormat="1" applyFont="1" applyFill="1" applyBorder="1" applyAlignment="1">
      <alignment horizontal="left" vertical="center" wrapText="1"/>
    </xf>
    <xf numFmtId="41" fontId="44" fillId="2" borderId="63" xfId="1" applyFont="1" applyFill="1" applyBorder="1" applyAlignment="1">
      <alignment horizontal="right" vertical="center" wrapText="1"/>
    </xf>
    <xf numFmtId="177" fontId="44" fillId="2" borderId="64" xfId="1" applyNumberFormat="1" applyFont="1" applyFill="1" applyBorder="1" applyAlignment="1">
      <alignment horizontal="center" vertical="center" wrapText="1"/>
    </xf>
    <xf numFmtId="41" fontId="44" fillId="2" borderId="70" xfId="1" applyFont="1" applyFill="1" applyBorder="1" applyAlignment="1">
      <alignment horizontal="right" vertical="center" wrapText="1"/>
    </xf>
    <xf numFmtId="177" fontId="44" fillId="2" borderId="70" xfId="1" applyNumberFormat="1" applyFont="1" applyFill="1" applyBorder="1" applyAlignment="1">
      <alignment horizontal="right" vertical="center" wrapText="1"/>
    </xf>
    <xf numFmtId="177" fontId="44" fillId="2" borderId="71" xfId="1" applyNumberFormat="1" applyFont="1" applyFill="1" applyBorder="1" applyAlignment="1">
      <alignment horizontal="center" vertical="center" wrapText="1"/>
    </xf>
    <xf numFmtId="176" fontId="7" fillId="2" borderId="29" xfId="0" applyNumberFormat="1" applyFont="1" applyFill="1" applyBorder="1" applyAlignment="1">
      <alignment horizontal="left" vertical="center" wrapText="1"/>
    </xf>
    <xf numFmtId="176" fontId="7" fillId="2" borderId="29" xfId="0" applyNumberFormat="1" applyFont="1" applyFill="1" applyBorder="1" applyAlignment="1">
      <alignment horizontal="left" vertical="top" wrapText="1"/>
    </xf>
    <xf numFmtId="176" fontId="7" fillId="2" borderId="29" xfId="0" applyNumberFormat="1" applyFont="1" applyFill="1" applyBorder="1" applyAlignment="1">
      <alignment vertical="top" wrapText="1"/>
    </xf>
    <xf numFmtId="0" fontId="7" fillId="2" borderId="146" xfId="0" applyFont="1" applyFill="1" applyBorder="1" applyAlignment="1">
      <alignment vertical="top" wrapText="1"/>
    </xf>
    <xf numFmtId="176" fontId="7" fillId="2" borderId="44" xfId="0" applyNumberFormat="1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41" fontId="6" fillId="2" borderId="40" xfId="0" applyNumberFormat="1" applyFont="1" applyFill="1" applyBorder="1" applyAlignment="1">
      <alignment horizontal="right" vertical="center"/>
    </xf>
    <xf numFmtId="177" fontId="6" fillId="2" borderId="50" xfId="0" applyNumberFormat="1" applyFont="1" applyFill="1" applyBorder="1" applyAlignment="1">
      <alignment horizontal="right" vertical="center"/>
    </xf>
    <xf numFmtId="176" fontId="7" fillId="2" borderId="54" xfId="0" applyNumberFormat="1" applyFont="1" applyFill="1" applyBorder="1" applyAlignment="1">
      <alignment horizontal="right" vertical="center"/>
    </xf>
    <xf numFmtId="176" fontId="7" fillId="2" borderId="44" xfId="0" applyNumberFormat="1" applyFont="1" applyFill="1" applyBorder="1" applyAlignment="1">
      <alignment horizontal="left" vertical="top"/>
    </xf>
    <xf numFmtId="41" fontId="7" fillId="2" borderId="147" xfId="0" applyNumberFormat="1" applyFont="1" applyFill="1" applyBorder="1" applyAlignment="1">
      <alignment horizontal="right" vertical="center"/>
    </xf>
    <xf numFmtId="176" fontId="7" fillId="2" borderId="44" xfId="0" applyNumberFormat="1" applyFont="1" applyFill="1" applyBorder="1" applyAlignment="1">
      <alignment horizontal="right" vertical="center"/>
    </xf>
    <xf numFmtId="0" fontId="6" fillId="2" borderId="52" xfId="0" applyFont="1" applyFill="1" applyBorder="1" applyAlignment="1">
      <alignment horizontal="left" vertical="top" wrapText="1"/>
    </xf>
    <xf numFmtId="41" fontId="7" fillId="2" borderId="76" xfId="0" applyNumberFormat="1" applyFont="1" applyFill="1" applyBorder="1" applyAlignment="1">
      <alignment horizontal="right" vertical="center"/>
    </xf>
    <xf numFmtId="176" fontId="6" fillId="2" borderId="59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/>
    </xf>
    <xf numFmtId="176" fontId="6" fillId="2" borderId="87" xfId="0" applyNumberFormat="1" applyFont="1" applyFill="1" applyBorder="1" applyAlignment="1">
      <alignment horizontal="right" vertical="center"/>
    </xf>
    <xf numFmtId="176" fontId="7" fillId="2" borderId="45" xfId="0" applyNumberFormat="1" applyFont="1" applyFill="1" applyBorder="1" applyAlignment="1">
      <alignment horizontal="left" vertical="top" wrapText="1"/>
    </xf>
    <xf numFmtId="176" fontId="7" fillId="2" borderId="64" xfId="0" applyNumberFormat="1" applyFont="1" applyFill="1" applyBorder="1" applyAlignment="1">
      <alignment horizontal="left" vertical="top" wrapText="1"/>
    </xf>
    <xf numFmtId="41" fontId="6" fillId="2" borderId="86" xfId="0" applyNumberFormat="1" applyFont="1" applyFill="1" applyBorder="1" applyAlignment="1">
      <alignment horizontal="right" vertical="center"/>
    </xf>
    <xf numFmtId="41" fontId="6" fillId="2" borderId="85" xfId="0" applyNumberFormat="1" applyFont="1" applyFill="1" applyBorder="1" applyAlignment="1">
      <alignment horizontal="right" vertical="center"/>
    </xf>
    <xf numFmtId="177" fontId="6" fillId="2" borderId="86" xfId="0" applyNumberFormat="1" applyFont="1" applyFill="1" applyBorder="1" applyAlignment="1">
      <alignment horizontal="right" vertical="center"/>
    </xf>
    <xf numFmtId="0" fontId="16" fillId="10" borderId="2" xfId="0" applyFont="1" applyFill="1" applyBorder="1" applyAlignment="1">
      <alignment horizontal="left" vertical="center" wrapText="1"/>
    </xf>
    <xf numFmtId="177" fontId="24" fillId="2" borderId="7" xfId="5" applyNumberFormat="1" applyFont="1" applyFill="1" applyBorder="1" applyAlignment="1">
      <alignment horizontal="right" vertical="center" wrapText="1"/>
    </xf>
    <xf numFmtId="176" fontId="23" fillId="2" borderId="70" xfId="5" applyNumberFormat="1" applyFont="1" applyFill="1" applyBorder="1" applyAlignment="1">
      <alignment horizontal="right" vertical="center" wrapText="1"/>
    </xf>
    <xf numFmtId="177" fontId="23" fillId="2" borderId="7" xfId="5" applyNumberFormat="1" applyFont="1" applyFill="1" applyBorder="1" applyAlignment="1">
      <alignment horizontal="right" vertical="center" wrapText="1"/>
    </xf>
    <xf numFmtId="176" fontId="23" fillId="2" borderId="7" xfId="4" applyNumberFormat="1" applyFont="1" applyFill="1" applyBorder="1" applyAlignment="1">
      <alignment horizontal="right" vertical="center" wrapText="1"/>
    </xf>
    <xf numFmtId="176" fontId="23" fillId="2" borderId="7" xfId="5" applyNumberFormat="1" applyFont="1" applyFill="1" applyBorder="1" applyAlignment="1">
      <alignment horizontal="right" vertical="center" wrapText="1"/>
    </xf>
    <xf numFmtId="41" fontId="23" fillId="2" borderId="23" xfId="5" applyNumberFormat="1" applyFont="1" applyFill="1" applyBorder="1" applyAlignment="1">
      <alignment horizontal="right" vertical="center" wrapText="1"/>
    </xf>
    <xf numFmtId="0" fontId="12" fillId="10" borderId="2" xfId="0" applyFont="1" applyFill="1" applyBorder="1" applyAlignment="1">
      <alignment vertical="center" wrapText="1"/>
    </xf>
    <xf numFmtId="176" fontId="7" fillId="10" borderId="73" xfId="0" applyNumberFormat="1" applyFont="1" applyFill="1" applyBorder="1" applyAlignment="1">
      <alignment vertical="center"/>
    </xf>
    <xf numFmtId="179" fontId="16" fillId="10" borderId="75" xfId="0" applyNumberFormat="1" applyFont="1" applyFill="1" applyBorder="1" applyAlignment="1">
      <alignment vertical="center" wrapText="1"/>
    </xf>
    <xf numFmtId="177" fontId="23" fillId="8" borderId="76" xfId="5" applyNumberFormat="1" applyFont="1" applyFill="1" applyBorder="1" applyAlignment="1">
      <alignment horizontal="right" vertical="center" wrapText="1"/>
    </xf>
    <xf numFmtId="176" fontId="7" fillId="2" borderId="83" xfId="0" applyNumberFormat="1" applyFont="1" applyFill="1" applyBorder="1" applyAlignment="1">
      <alignment horizontal="right" vertical="center"/>
    </xf>
    <xf numFmtId="176" fontId="7" fillId="2" borderId="59" xfId="0" applyNumberFormat="1" applyFont="1" applyFill="1" applyBorder="1" applyAlignment="1">
      <alignment horizontal="right" vertical="center"/>
    </xf>
    <xf numFmtId="176" fontId="7" fillId="0" borderId="63" xfId="0" applyNumberFormat="1" applyFont="1" applyFill="1" applyBorder="1" applyAlignment="1">
      <alignment horizontal="right" vertical="center"/>
    </xf>
    <xf numFmtId="41" fontId="6" fillId="2" borderId="84" xfId="0" applyNumberFormat="1" applyFont="1" applyFill="1" applyBorder="1" applyAlignment="1">
      <alignment horizontal="right" vertical="center"/>
    </xf>
    <xf numFmtId="176" fontId="7" fillId="2" borderId="120" xfId="0" quotePrefix="1" applyNumberFormat="1" applyFont="1" applyFill="1" applyBorder="1" applyAlignment="1">
      <alignment horizontal="left" vertical="top" wrapText="1"/>
    </xf>
    <xf numFmtId="176" fontId="7" fillId="2" borderId="29" xfId="0" quotePrefix="1" applyNumberFormat="1" applyFont="1" applyFill="1" applyBorder="1" applyAlignment="1">
      <alignment horizontal="left" vertical="top" wrapText="1"/>
    </xf>
    <xf numFmtId="177" fontId="6" fillId="2" borderId="53" xfId="0" applyNumberFormat="1" applyFont="1" applyFill="1" applyBorder="1" applyAlignment="1">
      <alignment horizontal="right" vertical="center"/>
    </xf>
    <xf numFmtId="176" fontId="6" fillId="2" borderId="23" xfId="0" applyNumberFormat="1" applyFont="1" applyFill="1" applyBorder="1" applyAlignment="1">
      <alignment horizontal="right" vertical="center"/>
    </xf>
    <xf numFmtId="176" fontId="6" fillId="2" borderId="58" xfId="0" applyNumberFormat="1" applyFont="1" applyFill="1" applyBorder="1" applyAlignment="1">
      <alignment horizontal="right" vertical="center"/>
    </xf>
    <xf numFmtId="41" fontId="6" fillId="2" borderId="79" xfId="0" applyNumberFormat="1" applyFont="1" applyFill="1" applyBorder="1" applyAlignment="1">
      <alignment horizontal="right" vertical="center"/>
    </xf>
    <xf numFmtId="41" fontId="6" fillId="2" borderId="50" xfId="0" applyNumberFormat="1" applyFont="1" applyFill="1" applyBorder="1" applyAlignment="1">
      <alignment horizontal="right" vertical="center"/>
    </xf>
    <xf numFmtId="177" fontId="6" fillId="2" borderId="41" xfId="0" applyNumberFormat="1" applyFont="1" applyFill="1" applyBorder="1" applyAlignment="1">
      <alignment horizontal="right" vertical="center"/>
    </xf>
    <xf numFmtId="0" fontId="7" fillId="2" borderId="14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41" fontId="6" fillId="2" borderId="76" xfId="0" applyNumberFormat="1" applyFont="1" applyFill="1" applyBorder="1" applyAlignment="1">
      <alignment horizontal="right" vertical="center"/>
    </xf>
    <xf numFmtId="177" fontId="23" fillId="2" borderId="79" xfId="5" applyNumberFormat="1" applyFont="1" applyFill="1" applyBorder="1" applyAlignment="1">
      <alignment horizontal="right" vertical="center" wrapText="1"/>
    </xf>
    <xf numFmtId="41" fontId="6" fillId="2" borderId="26" xfId="0" applyNumberFormat="1" applyFont="1" applyFill="1" applyBorder="1" applyAlignment="1">
      <alignment horizontal="right" vertical="center"/>
    </xf>
    <xf numFmtId="41" fontId="7" fillId="2" borderId="101" xfId="0" applyNumberFormat="1" applyFont="1" applyFill="1" applyBorder="1" applyAlignment="1">
      <alignment horizontal="right" vertical="center"/>
    </xf>
    <xf numFmtId="177" fontId="6" fillId="2" borderId="85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top"/>
    </xf>
    <xf numFmtId="0" fontId="6" fillId="2" borderId="70" xfId="0" applyFont="1" applyFill="1" applyBorder="1" applyAlignment="1">
      <alignment horizontal="left" vertical="top"/>
    </xf>
    <xf numFmtId="41" fontId="6" fillId="2" borderId="106" xfId="0" applyNumberFormat="1" applyFont="1" applyFill="1" applyBorder="1" applyAlignment="1">
      <alignment horizontal="right" vertical="center"/>
    </xf>
    <xf numFmtId="176" fontId="13" fillId="3" borderId="73" xfId="4" applyNumberFormat="1" applyFont="1" applyFill="1" applyBorder="1" applyAlignment="1">
      <alignment horizontal="right" vertical="center" wrapText="1"/>
    </xf>
    <xf numFmtId="176" fontId="13" fillId="3" borderId="73" xfId="5" applyNumberFormat="1" applyFont="1" applyFill="1" applyBorder="1" applyAlignment="1">
      <alignment horizontal="right" vertical="center" wrapText="1"/>
    </xf>
    <xf numFmtId="176" fontId="18" fillId="4" borderId="69" xfId="4" applyNumberFormat="1" applyFont="1" applyFill="1" applyBorder="1" applyAlignment="1">
      <alignment horizontal="left" vertical="top" wrapText="1"/>
    </xf>
    <xf numFmtId="177" fontId="18" fillId="3" borderId="83" xfId="5" applyNumberFormat="1" applyFont="1" applyFill="1" applyBorder="1" applyAlignment="1">
      <alignment horizontal="right" vertical="center" wrapText="1"/>
    </xf>
    <xf numFmtId="176" fontId="18" fillId="0" borderId="70" xfId="4" applyNumberFormat="1" applyFont="1" applyFill="1" applyBorder="1" applyAlignment="1">
      <alignment horizontal="right" vertical="center" wrapText="1"/>
    </xf>
    <xf numFmtId="176" fontId="18" fillId="3" borderId="70" xfId="5" applyNumberFormat="1" applyFont="1" applyFill="1" applyBorder="1" applyAlignment="1">
      <alignment horizontal="right" vertical="center" wrapText="1"/>
    </xf>
    <xf numFmtId="177" fontId="13" fillId="3" borderId="1" xfId="5" applyNumberFormat="1" applyFont="1" applyFill="1" applyBorder="1" applyAlignment="1">
      <alignment horizontal="right" vertical="center" wrapText="1"/>
    </xf>
    <xf numFmtId="177" fontId="18" fillId="3" borderId="59" xfId="5" applyNumberFormat="1" applyFont="1" applyFill="1" applyBorder="1" applyAlignment="1">
      <alignment horizontal="right" vertical="center" wrapText="1"/>
    </xf>
    <xf numFmtId="177" fontId="13" fillId="3" borderId="63" xfId="5" applyNumberFormat="1" applyFont="1" applyFill="1" applyBorder="1" applyAlignment="1">
      <alignment horizontal="right" vertical="center" wrapText="1"/>
    </xf>
    <xf numFmtId="41" fontId="7" fillId="2" borderId="63" xfId="1" applyFont="1" applyFill="1" applyBorder="1" applyAlignment="1">
      <alignment horizontal="right" vertical="center"/>
    </xf>
    <xf numFmtId="177" fontId="29" fillId="2" borderId="133" xfId="1" applyNumberFormat="1" applyFont="1" applyFill="1" applyBorder="1" applyAlignment="1">
      <alignment horizontal="center" vertical="center" wrapText="1"/>
    </xf>
    <xf numFmtId="176" fontId="29" fillId="2" borderId="73" xfId="1" applyNumberFormat="1" applyFont="1" applyFill="1" applyBorder="1" applyAlignment="1">
      <alignment horizontal="right" vertical="center" wrapText="1"/>
    </xf>
    <xf numFmtId="176" fontId="7" fillId="2" borderId="108" xfId="0" applyNumberFormat="1" applyFont="1" applyFill="1" applyBorder="1" applyAlignment="1">
      <alignment horizontal="right" vertical="center"/>
    </xf>
    <xf numFmtId="41" fontId="6" fillId="2" borderId="53" xfId="0" applyNumberFormat="1" applyFont="1" applyFill="1" applyBorder="1" applyAlignment="1">
      <alignment horizontal="right" vertical="center"/>
    </xf>
    <xf numFmtId="177" fontId="32" fillId="2" borderId="104" xfId="1" applyNumberFormat="1" applyFont="1" applyFill="1" applyBorder="1" applyAlignment="1">
      <alignment horizontal="right" vertical="center" wrapText="1"/>
    </xf>
    <xf numFmtId="176" fontId="6" fillId="2" borderId="53" xfId="0" applyNumberFormat="1" applyFont="1" applyFill="1" applyBorder="1" applyAlignment="1">
      <alignment horizontal="right" vertical="center"/>
    </xf>
    <xf numFmtId="41" fontId="7" fillId="2" borderId="54" xfId="1" applyFont="1" applyFill="1" applyBorder="1" applyAlignment="1">
      <alignment horizontal="right" vertical="center"/>
    </xf>
    <xf numFmtId="176" fontId="6" fillId="2" borderId="41" xfId="0" applyNumberFormat="1" applyFont="1" applyFill="1" applyBorder="1" applyAlignment="1">
      <alignment horizontal="right" vertical="center"/>
    </xf>
    <xf numFmtId="176" fontId="6" fillId="4" borderId="85" xfId="0" applyNumberFormat="1" applyFont="1" applyFill="1" applyBorder="1" applyAlignment="1">
      <alignment horizontal="right" vertical="center"/>
    </xf>
    <xf numFmtId="41" fontId="7" fillId="2" borderId="43" xfId="1" applyFont="1" applyFill="1" applyBorder="1" applyAlignment="1">
      <alignment horizontal="right" vertical="center"/>
    </xf>
    <xf numFmtId="41" fontId="7" fillId="2" borderId="28" xfId="1" applyFont="1" applyFill="1" applyBorder="1" applyAlignment="1">
      <alignment horizontal="right" vertical="center"/>
    </xf>
    <xf numFmtId="41" fontId="7" fillId="2" borderId="30" xfId="1" applyFont="1" applyFill="1" applyBorder="1" applyAlignment="1">
      <alignment horizontal="right" vertical="center"/>
    </xf>
    <xf numFmtId="41" fontId="7" fillId="2" borderId="26" xfId="1" applyFont="1" applyFill="1" applyBorder="1" applyAlignment="1">
      <alignment horizontal="right" vertical="center"/>
    </xf>
    <xf numFmtId="41" fontId="6" fillId="2" borderId="104" xfId="0" applyNumberFormat="1" applyFont="1" applyFill="1" applyBorder="1" applyAlignment="1">
      <alignment horizontal="right" vertical="center"/>
    </xf>
    <xf numFmtId="176" fontId="7" fillId="2" borderId="101" xfId="0" applyNumberFormat="1" applyFont="1" applyFill="1" applyBorder="1" applyAlignment="1">
      <alignment horizontal="right" vertical="center"/>
    </xf>
    <xf numFmtId="41" fontId="7" fillId="2" borderId="48" xfId="1" applyFont="1" applyFill="1" applyBorder="1" applyAlignment="1">
      <alignment horizontal="right" vertical="center"/>
    </xf>
    <xf numFmtId="176" fontId="7" fillId="2" borderId="105" xfId="0" applyNumberFormat="1" applyFont="1" applyFill="1" applyBorder="1" applyAlignment="1">
      <alignment horizontal="right" vertical="center"/>
    </xf>
    <xf numFmtId="41" fontId="6" fillId="4" borderId="41" xfId="0" applyNumberFormat="1" applyFont="1" applyFill="1" applyBorder="1" applyAlignment="1">
      <alignment horizontal="right" vertical="center"/>
    </xf>
    <xf numFmtId="176" fontId="6" fillId="4" borderId="4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 wrapText="1"/>
    </xf>
    <xf numFmtId="0" fontId="7" fillId="2" borderId="63" xfId="0" applyFont="1" applyFill="1" applyBorder="1" applyAlignment="1">
      <alignment horizontal="left" vertical="top" wrapText="1"/>
    </xf>
    <xf numFmtId="0" fontId="6" fillId="2" borderId="80" xfId="0" applyFont="1" applyFill="1" applyBorder="1" applyAlignment="1">
      <alignment horizontal="left" vertical="top" wrapText="1"/>
    </xf>
    <xf numFmtId="0" fontId="7" fillId="2" borderId="70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/>
    </xf>
    <xf numFmtId="0" fontId="7" fillId="2" borderId="73" xfId="0" applyFont="1" applyFill="1" applyBorder="1" applyAlignment="1">
      <alignment vertical="top" wrapText="1"/>
    </xf>
    <xf numFmtId="0" fontId="7" fillId="2" borderId="63" xfId="0" applyFont="1" applyFill="1" applyBorder="1" applyAlignment="1">
      <alignment vertical="top" wrapText="1"/>
    </xf>
    <xf numFmtId="0" fontId="6" fillId="2" borderId="80" xfId="0" applyFont="1" applyFill="1" applyBorder="1" applyAlignment="1">
      <alignment horizontal="left" wrapText="1"/>
    </xf>
    <xf numFmtId="41" fontId="29" fillId="2" borderId="63" xfId="1" applyFont="1" applyFill="1" applyBorder="1" applyAlignment="1">
      <alignment horizontal="center" vertical="center" wrapText="1"/>
    </xf>
    <xf numFmtId="177" fontId="29" fillId="2" borderId="70" xfId="1" applyNumberFormat="1" applyFont="1" applyFill="1" applyBorder="1" applyAlignment="1">
      <alignment horizontal="right" vertical="center" wrapText="1"/>
    </xf>
    <xf numFmtId="41" fontId="6" fillId="2" borderId="82" xfId="0" applyNumberFormat="1" applyFont="1" applyFill="1" applyBorder="1" applyAlignment="1">
      <alignment horizontal="right" vertical="center"/>
    </xf>
    <xf numFmtId="41" fontId="6" fillId="2" borderId="7" xfId="0" applyNumberFormat="1" applyFont="1" applyFill="1" applyBorder="1" applyAlignment="1">
      <alignment horizontal="right" vertical="center"/>
    </xf>
    <xf numFmtId="41" fontId="6" fillId="2" borderId="63" xfId="0" applyNumberFormat="1" applyFont="1" applyFill="1" applyBorder="1" applyAlignment="1">
      <alignment horizontal="right" vertical="center"/>
    </xf>
    <xf numFmtId="41" fontId="6" fillId="2" borderId="28" xfId="0" applyNumberFormat="1" applyFont="1" applyFill="1" applyBorder="1" applyAlignment="1">
      <alignment horizontal="right" vertical="center"/>
    </xf>
    <xf numFmtId="177" fontId="32" fillId="2" borderId="73" xfId="1" applyNumberFormat="1" applyFont="1" applyFill="1" applyBorder="1" applyAlignment="1">
      <alignment horizontal="right" vertical="center" wrapText="1"/>
    </xf>
    <xf numFmtId="176" fontId="7" fillId="2" borderId="75" xfId="0" applyNumberFormat="1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horizontal="center" vertical="center"/>
    </xf>
    <xf numFmtId="41" fontId="6" fillId="2" borderId="115" xfId="0" applyNumberFormat="1" applyFont="1" applyFill="1" applyBorder="1" applyAlignment="1">
      <alignment horizontal="right" vertical="center"/>
    </xf>
    <xf numFmtId="0" fontId="6" fillId="2" borderId="50" xfId="0" applyNumberFormat="1" applyFont="1" applyFill="1" applyBorder="1" applyAlignment="1">
      <alignment horizontal="right" vertical="center"/>
    </xf>
    <xf numFmtId="0" fontId="7" fillId="2" borderId="8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7" fillId="2" borderId="138" xfId="0" applyNumberFormat="1" applyFont="1" applyFill="1" applyBorder="1" applyAlignment="1">
      <alignment horizontal="right" vertical="center"/>
    </xf>
    <xf numFmtId="0" fontId="7" fillId="2" borderId="50" xfId="0" applyNumberFormat="1" applyFont="1" applyFill="1" applyBorder="1" applyAlignment="1">
      <alignment horizontal="right" vertical="center"/>
    </xf>
    <xf numFmtId="176" fontId="7" fillId="2" borderId="120" xfId="0" applyNumberFormat="1" applyFont="1" applyFill="1" applyBorder="1" applyAlignment="1">
      <alignment horizontal="right" vertical="center"/>
    </xf>
    <xf numFmtId="177" fontId="7" fillId="2" borderId="149" xfId="0" applyNumberFormat="1" applyFont="1" applyFill="1" applyBorder="1" applyAlignment="1">
      <alignment horizontal="right" vertical="center"/>
    </xf>
    <xf numFmtId="176" fontId="7" fillId="2" borderId="29" xfId="0" applyNumberFormat="1" applyFont="1" applyFill="1" applyBorder="1" applyAlignment="1">
      <alignment horizontal="left" vertical="center"/>
    </xf>
    <xf numFmtId="176" fontId="7" fillId="2" borderId="75" xfId="0" applyNumberFormat="1" applyFont="1" applyFill="1" applyBorder="1" applyAlignment="1">
      <alignment horizontal="left" vertical="center"/>
    </xf>
    <xf numFmtId="176" fontId="7" fillId="2" borderId="2" xfId="0" applyNumberFormat="1" applyFont="1" applyFill="1" applyBorder="1" applyAlignment="1">
      <alignment horizontal="left" vertical="center"/>
    </xf>
    <xf numFmtId="41" fontId="7" fillId="2" borderId="85" xfId="0" applyNumberFormat="1" applyFont="1" applyFill="1" applyBorder="1" applyAlignment="1">
      <alignment horizontal="right" vertical="center"/>
    </xf>
    <xf numFmtId="177" fontId="7" fillId="2" borderId="86" xfId="0" applyNumberFormat="1" applyFont="1" applyFill="1" applyBorder="1" applyAlignment="1">
      <alignment horizontal="right" vertical="center"/>
    </xf>
    <xf numFmtId="176" fontId="7" fillId="2" borderId="58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77" fontId="6" fillId="2" borderId="111" xfId="0" applyNumberFormat="1" applyFont="1" applyFill="1" applyBorder="1" applyAlignment="1">
      <alignment horizontal="right" vertical="center"/>
    </xf>
    <xf numFmtId="177" fontId="7" fillId="2" borderId="119" xfId="0" applyNumberFormat="1" applyFont="1" applyFill="1" applyBorder="1" applyAlignment="1">
      <alignment horizontal="right" vertical="center"/>
    </xf>
    <xf numFmtId="177" fontId="6" fillId="2" borderId="63" xfId="0" applyNumberFormat="1" applyFont="1" applyFill="1" applyBorder="1" applyAlignment="1">
      <alignment horizontal="right" vertical="center"/>
    </xf>
    <xf numFmtId="177" fontId="6" fillId="2" borderId="70" xfId="0" applyNumberFormat="1" applyFont="1" applyFill="1" applyBorder="1" applyAlignment="1">
      <alignment horizontal="right" vertical="center"/>
    </xf>
    <xf numFmtId="177" fontId="6" fillId="2" borderId="30" xfId="0" applyNumberFormat="1" applyFont="1" applyFill="1" applyBorder="1" applyAlignment="1">
      <alignment horizontal="right" vertical="center"/>
    </xf>
    <xf numFmtId="0" fontId="6" fillId="2" borderId="70" xfId="0" applyFont="1" applyFill="1" applyBorder="1" applyAlignment="1">
      <alignment vertical="top" wrapText="1"/>
    </xf>
    <xf numFmtId="177" fontId="6" fillId="2" borderId="26" xfId="0" applyNumberFormat="1" applyFont="1" applyFill="1" applyBorder="1" applyAlignment="1">
      <alignment horizontal="right" vertical="center"/>
    </xf>
    <xf numFmtId="177" fontId="7" fillId="2" borderId="150" xfId="0" applyNumberFormat="1" applyFont="1" applyFill="1" applyBorder="1" applyAlignment="1">
      <alignment horizontal="right" vertical="center"/>
    </xf>
    <xf numFmtId="177" fontId="6" fillId="2" borderId="7" xfId="0" applyNumberFormat="1" applyFont="1" applyFill="1" applyBorder="1" applyAlignment="1">
      <alignment horizontal="right" vertical="center"/>
    </xf>
    <xf numFmtId="177" fontId="7" fillId="2" borderId="151" xfId="0" applyNumberFormat="1" applyFont="1" applyFill="1" applyBorder="1" applyAlignment="1">
      <alignment horizontal="right" vertical="center"/>
    </xf>
    <xf numFmtId="177" fontId="6" fillId="2" borderId="151" xfId="0" applyNumberFormat="1" applyFont="1" applyFill="1" applyBorder="1" applyAlignment="1">
      <alignment horizontal="right" vertical="center"/>
    </xf>
    <xf numFmtId="176" fontId="7" fillId="2" borderId="44" xfId="0" applyNumberFormat="1" applyFont="1" applyFill="1" applyBorder="1" applyAlignment="1">
      <alignment horizontal="left" vertical="center"/>
    </xf>
    <xf numFmtId="177" fontId="7" fillId="2" borderId="101" xfId="0" applyNumberFormat="1" applyFont="1" applyFill="1" applyBorder="1" applyAlignment="1">
      <alignment horizontal="right" vertical="center"/>
    </xf>
    <xf numFmtId="0" fontId="6" fillId="7" borderId="78" xfId="0" applyFont="1" applyFill="1" applyBorder="1" applyAlignment="1">
      <alignment horizontal="left" vertical="top" wrapText="1"/>
    </xf>
    <xf numFmtId="0" fontId="7" fillId="7" borderId="79" xfId="0" applyFont="1" applyFill="1" applyBorder="1" applyAlignment="1">
      <alignment horizontal="left" vertical="top" wrapText="1"/>
    </xf>
    <xf numFmtId="0" fontId="7" fillId="7" borderId="89" xfId="0" applyFont="1" applyFill="1" applyBorder="1" applyAlignment="1">
      <alignment horizontal="left" vertical="top" wrapText="1"/>
    </xf>
    <xf numFmtId="176" fontId="7" fillId="2" borderId="89" xfId="0" applyNumberFormat="1" applyFont="1" applyFill="1" applyBorder="1" applyAlignment="1">
      <alignment horizontal="right" vertical="center"/>
    </xf>
    <xf numFmtId="176" fontId="7" fillId="2" borderId="79" xfId="0" applyNumberFormat="1" applyFont="1" applyFill="1" applyBorder="1" applyAlignment="1">
      <alignment horizontal="right" vertical="center"/>
    </xf>
    <xf numFmtId="176" fontId="7" fillId="2" borderId="20" xfId="0" applyNumberFormat="1" applyFont="1" applyFill="1" applyBorder="1" applyAlignment="1">
      <alignment horizontal="right" vertical="center"/>
    </xf>
    <xf numFmtId="177" fontId="7" fillId="2" borderId="137" xfId="0" applyNumberFormat="1" applyFont="1" applyFill="1" applyBorder="1" applyAlignment="1">
      <alignment horizontal="right" vertical="center"/>
    </xf>
    <xf numFmtId="177" fontId="6" fillId="2" borderId="133" xfId="0" applyNumberFormat="1" applyFont="1" applyFill="1" applyBorder="1" applyAlignment="1">
      <alignment horizontal="right" vertical="center"/>
    </xf>
    <xf numFmtId="176" fontId="7" fillId="2" borderId="75" xfId="0" applyNumberFormat="1" applyFont="1" applyFill="1" applyBorder="1" applyAlignment="1">
      <alignment horizontal="left" vertical="top" wrapText="1"/>
    </xf>
    <xf numFmtId="176" fontId="7" fillId="2" borderId="64" xfId="0" applyNumberFormat="1" applyFont="1" applyFill="1" applyBorder="1" applyAlignment="1">
      <alignment horizontal="right" vertical="center" wrapText="1"/>
    </xf>
    <xf numFmtId="0" fontId="6" fillId="7" borderId="78" xfId="0" applyFont="1" applyFill="1" applyBorder="1" applyAlignment="1">
      <alignment vertical="top" wrapText="1"/>
    </xf>
    <xf numFmtId="0" fontId="7" fillId="7" borderId="79" xfId="0" applyFont="1" applyFill="1" applyBorder="1" applyAlignment="1">
      <alignment vertical="top" wrapText="1"/>
    </xf>
    <xf numFmtId="0" fontId="7" fillId="7" borderId="89" xfId="0" applyFont="1" applyFill="1" applyBorder="1" applyAlignment="1">
      <alignment vertical="top" wrapText="1"/>
    </xf>
    <xf numFmtId="41" fontId="43" fillId="2" borderId="63" xfId="1" applyFont="1" applyFill="1" applyBorder="1" applyAlignment="1">
      <alignment horizontal="center" vertical="center" wrapText="1"/>
    </xf>
    <xf numFmtId="41" fontId="43" fillId="2" borderId="73" xfId="1" applyFont="1" applyFill="1" applyBorder="1" applyAlignment="1">
      <alignment horizontal="center" vertical="center" wrapText="1"/>
    </xf>
    <xf numFmtId="177" fontId="43" fillId="2" borderId="63" xfId="1" applyNumberFormat="1" applyFont="1" applyFill="1" applyBorder="1" applyAlignment="1">
      <alignment horizontal="right" vertical="center" wrapText="1"/>
    </xf>
    <xf numFmtId="41" fontId="44" fillId="2" borderId="1" xfId="1" applyFont="1" applyFill="1" applyBorder="1" applyAlignment="1">
      <alignment horizontal="center" vertical="center" wrapText="1"/>
    </xf>
    <xf numFmtId="41" fontId="43" fillId="2" borderId="1" xfId="1" applyFont="1" applyFill="1" applyBorder="1" applyAlignment="1">
      <alignment horizontal="center" vertical="center" wrapText="1"/>
    </xf>
    <xf numFmtId="177" fontId="43" fillId="2" borderId="1" xfId="1" applyNumberFormat="1" applyFont="1" applyFill="1" applyBorder="1" applyAlignment="1">
      <alignment horizontal="right" vertical="center" wrapText="1"/>
    </xf>
    <xf numFmtId="177" fontId="44" fillId="2" borderId="7" xfId="1" applyNumberFormat="1" applyFont="1" applyFill="1" applyBorder="1" applyAlignment="1">
      <alignment horizontal="right" vertical="center" wrapText="1"/>
    </xf>
    <xf numFmtId="177" fontId="29" fillId="2" borderId="77" xfId="1" applyNumberFormat="1" applyFont="1" applyFill="1" applyBorder="1" applyAlignment="1">
      <alignment horizontal="center" vertical="center" wrapText="1"/>
    </xf>
    <xf numFmtId="177" fontId="29" fillId="2" borderId="22" xfId="1" applyNumberFormat="1" applyFont="1" applyFill="1" applyBorder="1" applyAlignment="1">
      <alignment horizontal="center" vertical="center" wrapText="1"/>
    </xf>
    <xf numFmtId="177" fontId="29" fillId="2" borderId="64" xfId="1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right" vertical="center"/>
    </xf>
    <xf numFmtId="176" fontId="7" fillId="2" borderId="103" xfId="0" applyNumberFormat="1" applyFont="1" applyFill="1" applyBorder="1" applyAlignment="1">
      <alignment horizontal="right" vertical="center"/>
    </xf>
    <xf numFmtId="177" fontId="44" fillId="2" borderId="140" xfId="1" applyNumberFormat="1" applyFont="1" applyFill="1" applyBorder="1" applyAlignment="1">
      <alignment horizontal="right" vertical="center" wrapText="1"/>
    </xf>
    <xf numFmtId="41" fontId="6" fillId="2" borderId="68" xfId="0" applyNumberFormat="1" applyFont="1" applyFill="1" applyBorder="1" applyAlignment="1">
      <alignment horizontal="right" vertical="center"/>
    </xf>
    <xf numFmtId="177" fontId="44" fillId="4" borderId="79" xfId="1" applyNumberFormat="1" applyFont="1" applyFill="1" applyBorder="1" applyAlignment="1">
      <alignment horizontal="right" vertical="center" wrapText="1"/>
    </xf>
    <xf numFmtId="41" fontId="43" fillId="2" borderId="122" xfId="1" applyFont="1" applyFill="1" applyBorder="1" applyAlignment="1">
      <alignment horizontal="center" vertical="center" wrapText="1"/>
    </xf>
    <xf numFmtId="176" fontId="7" fillId="2" borderId="152" xfId="0" applyNumberFormat="1" applyFont="1" applyFill="1" applyBorder="1" applyAlignment="1">
      <alignment horizontal="right" vertical="center"/>
    </xf>
    <xf numFmtId="176" fontId="7" fillId="2" borderId="153" xfId="0" applyNumberFormat="1" applyFont="1" applyFill="1" applyBorder="1" applyAlignment="1">
      <alignment horizontal="right" vertical="center"/>
    </xf>
    <xf numFmtId="177" fontId="7" fillId="2" borderId="28" xfId="0" applyNumberFormat="1" applyFont="1" applyFill="1" applyBorder="1" applyAlignment="1">
      <alignment horizontal="center" vertical="center"/>
    </xf>
    <xf numFmtId="177" fontId="7" fillId="2" borderId="31" xfId="0" applyNumberFormat="1" applyFont="1" applyFill="1" applyBorder="1" applyAlignment="1">
      <alignment horizontal="center" vertical="center"/>
    </xf>
    <xf numFmtId="177" fontId="6" fillId="2" borderId="41" xfId="0" applyNumberFormat="1" applyFont="1" applyFill="1" applyBorder="1" applyAlignment="1">
      <alignment horizontal="center" vertical="center"/>
    </xf>
    <xf numFmtId="9" fontId="7" fillId="2" borderId="50" xfId="0" applyNumberFormat="1" applyFont="1" applyFill="1" applyBorder="1" applyAlignment="1">
      <alignment horizontal="right" vertical="center"/>
    </xf>
    <xf numFmtId="9" fontId="7" fillId="2" borderId="81" xfId="0" applyNumberFormat="1" applyFont="1" applyFill="1" applyBorder="1" applyAlignment="1">
      <alignment horizontal="right" vertical="center"/>
    </xf>
    <xf numFmtId="41" fontId="7" fillId="2" borderId="44" xfId="0" applyNumberFormat="1" applyFont="1" applyFill="1" applyBorder="1" applyAlignment="1">
      <alignment horizontal="right" vertical="center"/>
    </xf>
    <xf numFmtId="9" fontId="7" fillId="2" borderId="86" xfId="0" applyNumberFormat="1" applyFont="1" applyFill="1" applyBorder="1" applyAlignment="1">
      <alignment horizontal="right" vertical="center"/>
    </xf>
    <xf numFmtId="41" fontId="6" fillId="8" borderId="85" xfId="0" applyNumberFormat="1" applyFont="1" applyFill="1" applyBorder="1" applyAlignment="1">
      <alignment horizontal="right" vertical="center"/>
    </xf>
    <xf numFmtId="176" fontId="6" fillId="8" borderId="87" xfId="0" applyNumberFormat="1" applyFont="1" applyFill="1" applyBorder="1" applyAlignment="1">
      <alignment horizontal="right" vertical="center"/>
    </xf>
    <xf numFmtId="41" fontId="7" fillId="2" borderId="124" xfId="0" applyNumberFormat="1" applyFont="1" applyFill="1" applyBorder="1" applyAlignment="1">
      <alignment horizontal="right" vertical="center"/>
    </xf>
    <xf numFmtId="176" fontId="7" fillId="2" borderId="122" xfId="0" applyNumberFormat="1" applyFont="1" applyFill="1" applyBorder="1" applyAlignment="1">
      <alignment horizontal="right" vertical="center"/>
    </xf>
    <xf numFmtId="9" fontId="6" fillId="2" borderId="53" xfId="0" applyNumberFormat="1" applyFont="1" applyFill="1" applyBorder="1" applyAlignment="1">
      <alignment horizontal="right" vertical="center"/>
    </xf>
    <xf numFmtId="177" fontId="7" fillId="2" borderId="31" xfId="0" applyNumberFormat="1" applyFont="1" applyFill="1" applyBorder="1" applyAlignment="1">
      <alignment horizontal="right" vertical="center"/>
    </xf>
    <xf numFmtId="177" fontId="6" fillId="2" borderId="154" xfId="0" applyNumberFormat="1" applyFont="1" applyFill="1" applyBorder="1" applyAlignment="1">
      <alignment horizontal="right" vertical="center"/>
    </xf>
    <xf numFmtId="177" fontId="5" fillId="4" borderId="86" xfId="0" applyNumberFormat="1" applyFont="1" applyFill="1" applyBorder="1" applyAlignment="1">
      <alignment horizontal="right" vertical="center"/>
    </xf>
    <xf numFmtId="177" fontId="43" fillId="2" borderId="104" xfId="1" applyNumberFormat="1" applyFont="1" applyFill="1" applyBorder="1" applyAlignment="1">
      <alignment horizontal="right" vertical="center" wrapText="1"/>
    </xf>
    <xf numFmtId="177" fontId="44" fillId="2" borderId="133" xfId="1" applyNumberFormat="1" applyFont="1" applyFill="1" applyBorder="1" applyAlignment="1">
      <alignment horizontal="right" vertical="center" wrapText="1"/>
    </xf>
    <xf numFmtId="41" fontId="7" fillId="2" borderId="73" xfId="0" applyNumberFormat="1" applyFont="1" applyFill="1" applyBorder="1" applyAlignment="1">
      <alignment horizontal="center" vertical="center"/>
    </xf>
    <xf numFmtId="41" fontId="7" fillId="2" borderId="28" xfId="0" applyNumberFormat="1" applyFont="1" applyFill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 vertical="center"/>
    </xf>
    <xf numFmtId="41" fontId="7" fillId="2" borderId="63" xfId="0" applyNumberFormat="1" applyFont="1" applyFill="1" applyBorder="1" applyAlignment="1">
      <alignment horizontal="center" vertical="center"/>
    </xf>
    <xf numFmtId="177" fontId="44" fillId="2" borderId="104" xfId="1" applyNumberFormat="1" applyFont="1" applyFill="1" applyBorder="1" applyAlignment="1">
      <alignment horizontal="right" vertical="center" wrapText="1"/>
    </xf>
    <xf numFmtId="41" fontId="7" fillId="2" borderId="27" xfId="0" applyNumberFormat="1" applyFont="1" applyFill="1" applyBorder="1" applyAlignment="1">
      <alignment horizontal="center" vertical="center"/>
    </xf>
    <xf numFmtId="177" fontId="44" fillId="4" borderId="85" xfId="1" applyNumberFormat="1" applyFont="1" applyFill="1" applyBorder="1" applyAlignment="1">
      <alignment horizontal="right" vertical="center" wrapText="1"/>
    </xf>
    <xf numFmtId="177" fontId="7" fillId="2" borderId="81" xfId="0" applyNumberFormat="1" applyFont="1" applyFill="1" applyBorder="1" applyAlignment="1">
      <alignment vertical="center"/>
    </xf>
    <xf numFmtId="177" fontId="7" fillId="2" borderId="30" xfId="0" applyNumberFormat="1" applyFont="1" applyFill="1" applyBorder="1" applyAlignment="1">
      <alignment vertical="center"/>
    </xf>
    <xf numFmtId="177" fontId="7" fillId="2" borderId="101" xfId="0" applyNumberFormat="1" applyFont="1" applyFill="1" applyBorder="1" applyAlignment="1">
      <alignment vertical="center"/>
    </xf>
    <xf numFmtId="177" fontId="7" fillId="2" borderId="156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177" fontId="6" fillId="2" borderId="50" xfId="0" applyNumberFormat="1" applyFont="1" applyFill="1" applyBorder="1" applyAlignment="1">
      <alignment vertical="center"/>
    </xf>
    <xf numFmtId="41" fontId="7" fillId="2" borderId="10" xfId="0" applyNumberFormat="1" applyFont="1" applyFill="1" applyBorder="1" applyAlignment="1">
      <alignment horizontal="right" vertical="center"/>
    </xf>
    <xf numFmtId="177" fontId="6" fillId="2" borderId="53" xfId="0" applyNumberFormat="1" applyFont="1" applyFill="1" applyBorder="1" applyAlignment="1">
      <alignment vertical="center"/>
    </xf>
    <xf numFmtId="177" fontId="7" fillId="2" borderId="53" xfId="0" applyNumberFormat="1" applyFont="1" applyFill="1" applyBorder="1" applyAlignment="1">
      <alignment vertical="center"/>
    </xf>
    <xf numFmtId="176" fontId="7" fillId="2" borderId="144" xfId="0" applyNumberFormat="1" applyFont="1" applyFill="1" applyBorder="1" applyAlignment="1">
      <alignment horizontal="left" vertical="center"/>
    </xf>
    <xf numFmtId="177" fontId="7" fillId="2" borderId="73" xfId="0" applyNumberFormat="1" applyFont="1" applyFill="1" applyBorder="1" applyAlignment="1">
      <alignment vertical="center"/>
    </xf>
    <xf numFmtId="177" fontId="6" fillId="4" borderId="85" xfId="0" applyNumberFormat="1" applyFont="1" applyFill="1" applyBorder="1" applyAlignment="1">
      <alignment vertical="center"/>
    </xf>
    <xf numFmtId="41" fontId="43" fillId="2" borderId="119" xfId="1" applyFont="1" applyFill="1" applyBorder="1" applyAlignment="1">
      <alignment horizontal="center" vertical="center" wrapText="1"/>
    </xf>
    <xf numFmtId="41" fontId="43" fillId="2" borderId="137" xfId="1" applyFont="1" applyFill="1" applyBorder="1" applyAlignment="1">
      <alignment horizontal="center" vertical="center" wrapText="1"/>
    </xf>
    <xf numFmtId="176" fontId="7" fillId="2" borderId="124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center" vertical="center"/>
    </xf>
    <xf numFmtId="177" fontId="32" fillId="2" borderId="151" xfId="1" applyNumberFormat="1" applyFont="1" applyFill="1" applyBorder="1" applyAlignment="1">
      <alignment horizontal="right" vertical="center" wrapText="1"/>
    </xf>
    <xf numFmtId="176" fontId="6" fillId="2" borderId="145" xfId="0" applyNumberFormat="1" applyFont="1" applyFill="1" applyBorder="1" applyAlignment="1">
      <alignment horizontal="right" vertical="center"/>
    </xf>
    <xf numFmtId="176" fontId="7" fillId="2" borderId="71" xfId="0" applyNumberFormat="1" applyFont="1" applyFill="1" applyBorder="1" applyAlignment="1">
      <alignment vertical="center"/>
    </xf>
    <xf numFmtId="176" fontId="6" fillId="2" borderId="42" xfId="0" applyNumberFormat="1" applyFont="1" applyFill="1" applyBorder="1" applyAlignment="1">
      <alignment horizontal="left" vertical="center"/>
    </xf>
    <xf numFmtId="41" fontId="7" fillId="2" borderId="143" xfId="0" applyNumberFormat="1" applyFont="1" applyFill="1" applyBorder="1" applyAlignment="1">
      <alignment horizontal="right" vertical="center"/>
    </xf>
    <xf numFmtId="177" fontId="6" fillId="8" borderId="86" xfId="0" applyNumberFormat="1" applyFont="1" applyFill="1" applyBorder="1" applyAlignment="1">
      <alignment horizontal="right" vertical="center"/>
    </xf>
    <xf numFmtId="41" fontId="5" fillId="11" borderId="70" xfId="0" applyNumberFormat="1" applyFont="1" applyFill="1" applyBorder="1">
      <alignment vertical="center"/>
    </xf>
    <xf numFmtId="177" fontId="5" fillId="11" borderId="7" xfId="0" applyNumberFormat="1" applyFont="1" applyFill="1" applyBorder="1" applyAlignment="1">
      <alignment horizontal="right" vertical="center"/>
    </xf>
    <xf numFmtId="177" fontId="6" fillId="4" borderId="50" xfId="0" applyNumberFormat="1" applyFont="1" applyFill="1" applyBorder="1" applyAlignment="1">
      <alignment horizontal="right" vertical="center"/>
    </xf>
    <xf numFmtId="176" fontId="6" fillId="2" borderId="70" xfId="0" applyNumberFormat="1" applyFont="1" applyFill="1" applyBorder="1" applyAlignment="1">
      <alignment horizontal="right" vertical="center"/>
    </xf>
    <xf numFmtId="177" fontId="7" fillId="2" borderId="136" xfId="0" applyNumberFormat="1" applyFont="1" applyFill="1" applyBorder="1" applyAlignment="1">
      <alignment horizontal="right" vertical="center"/>
    </xf>
    <xf numFmtId="177" fontId="6" fillId="2" borderId="90" xfId="0" applyNumberFormat="1" applyFont="1" applyFill="1" applyBorder="1" applyAlignment="1">
      <alignment horizontal="right" vertical="center"/>
    </xf>
    <xf numFmtId="177" fontId="6" fillId="2" borderId="104" xfId="0" applyNumberFormat="1" applyFont="1" applyFill="1" applyBorder="1" applyAlignment="1">
      <alignment horizontal="right" vertical="center"/>
    </xf>
    <xf numFmtId="41" fontId="6" fillId="2" borderId="65" xfId="0" applyNumberFormat="1" applyFont="1" applyFill="1" applyBorder="1" applyAlignment="1">
      <alignment horizontal="right" vertical="center"/>
    </xf>
    <xf numFmtId="176" fontId="7" fillId="2" borderId="35" xfId="0" applyNumberFormat="1" applyFont="1" applyFill="1" applyBorder="1" applyAlignment="1">
      <alignment horizontal="right" vertical="center"/>
    </xf>
    <xf numFmtId="176" fontId="6" fillId="2" borderId="82" xfId="0" applyNumberFormat="1" applyFont="1" applyFill="1" applyBorder="1" applyAlignment="1">
      <alignment horizontal="right" vertical="center"/>
    </xf>
    <xf numFmtId="0" fontId="7" fillId="2" borderId="157" xfId="0" applyFont="1" applyFill="1" applyBorder="1" applyAlignment="1">
      <alignment horizontal="left" vertical="top" wrapText="1"/>
    </xf>
    <xf numFmtId="176" fontId="6" fillId="8" borderId="85" xfId="0" applyNumberFormat="1" applyFont="1" applyFill="1" applyBorder="1" applyAlignment="1">
      <alignment horizontal="right" vertical="center"/>
    </xf>
    <xf numFmtId="0" fontId="24" fillId="2" borderId="1" xfId="4" applyNumberFormat="1" applyFont="1" applyFill="1" applyBorder="1" applyAlignment="1">
      <alignment horizontal="left" vertical="center" wrapText="1"/>
    </xf>
    <xf numFmtId="176" fontId="5" fillId="6" borderId="79" xfId="0" applyNumberFormat="1" applyFont="1" applyFill="1" applyBorder="1" applyAlignment="1">
      <alignment horizontal="right" vertical="center"/>
    </xf>
    <xf numFmtId="176" fontId="5" fillId="5" borderId="7" xfId="0" applyNumberFormat="1" applyFont="1" applyFill="1" applyBorder="1" applyAlignment="1">
      <alignment horizontal="right" vertical="center"/>
    </xf>
    <xf numFmtId="0" fontId="27" fillId="0" borderId="75" xfId="0" applyFont="1" applyBorder="1" applyAlignment="1">
      <alignment vertical="center" wrapText="1"/>
    </xf>
    <xf numFmtId="0" fontId="7" fillId="2" borderId="13" xfId="0" applyFont="1" applyFill="1" applyBorder="1" applyAlignment="1">
      <alignment horizontal="left" vertical="top" wrapText="1"/>
    </xf>
    <xf numFmtId="176" fontId="6" fillId="2" borderId="89" xfId="0" applyNumberFormat="1" applyFont="1" applyFill="1" applyBorder="1" applyAlignment="1">
      <alignment horizontal="right" vertical="center"/>
    </xf>
    <xf numFmtId="41" fontId="7" fillId="2" borderId="149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 wrapText="1"/>
    </xf>
    <xf numFmtId="0" fontId="7" fillId="2" borderId="63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/>
    </xf>
    <xf numFmtId="0" fontId="7" fillId="2" borderId="63" xfId="0" applyFont="1" applyFill="1" applyBorder="1" applyAlignment="1">
      <alignment vertical="top" wrapText="1"/>
    </xf>
    <xf numFmtId="176" fontId="6" fillId="2" borderId="106" xfId="0" applyNumberFormat="1" applyFont="1" applyFill="1" applyBorder="1" applyAlignment="1">
      <alignment horizontal="right" vertical="center"/>
    </xf>
    <xf numFmtId="177" fontId="24" fillId="2" borderId="70" xfId="5" applyNumberFormat="1" applyFont="1" applyFill="1" applyBorder="1" applyAlignment="1">
      <alignment horizontal="right" vertical="center" wrapText="1"/>
    </xf>
    <xf numFmtId="41" fontId="24" fillId="2" borderId="71" xfId="5" applyNumberFormat="1" applyFont="1" applyFill="1" applyBorder="1" applyAlignment="1">
      <alignment vertical="center" wrapText="1"/>
    </xf>
    <xf numFmtId="177" fontId="7" fillId="2" borderId="35" xfId="5" applyNumberFormat="1" applyFont="1" applyFill="1" applyBorder="1" applyAlignment="1">
      <alignment horizontal="right" vertical="center" wrapText="1"/>
    </xf>
    <xf numFmtId="177" fontId="7" fillId="2" borderId="122" xfId="5" applyNumberFormat="1" applyFont="1" applyFill="1" applyBorder="1" applyAlignment="1">
      <alignment horizontal="right" vertical="center" wrapText="1"/>
    </xf>
    <xf numFmtId="41" fontId="23" fillId="2" borderId="34" xfId="4" applyNumberFormat="1" applyFont="1" applyFill="1" applyBorder="1" applyAlignment="1">
      <alignment horizontal="right" vertical="center" wrapText="1"/>
    </xf>
    <xf numFmtId="177" fontId="6" fillId="8" borderId="86" xfId="5" applyNumberFormat="1" applyFont="1" applyFill="1" applyBorder="1" applyAlignment="1">
      <alignment horizontal="right" vertical="center" wrapText="1"/>
    </xf>
    <xf numFmtId="41" fontId="16" fillId="10" borderId="37" xfId="1" applyFont="1" applyFill="1" applyBorder="1" applyAlignment="1">
      <alignment vertical="center"/>
    </xf>
    <xf numFmtId="41" fontId="16" fillId="10" borderId="63" xfId="1" applyFont="1" applyFill="1" applyBorder="1" applyAlignment="1">
      <alignment vertical="center"/>
    </xf>
    <xf numFmtId="41" fontId="23" fillId="2" borderId="84" xfId="1" applyFont="1" applyFill="1" applyBorder="1" applyAlignment="1">
      <alignment horizontal="right" vertical="center" wrapText="1"/>
    </xf>
    <xf numFmtId="41" fontId="16" fillId="10" borderId="81" xfId="1" applyFont="1" applyFill="1" applyBorder="1" applyAlignment="1">
      <alignment vertical="center"/>
    </xf>
    <xf numFmtId="41" fontId="23" fillId="2" borderId="116" xfId="1" applyFont="1" applyFill="1" applyBorder="1" applyAlignment="1">
      <alignment horizontal="right" vertical="center" wrapText="1"/>
    </xf>
    <xf numFmtId="41" fontId="7" fillId="10" borderId="81" xfId="1" applyFont="1" applyFill="1" applyBorder="1" applyAlignment="1">
      <alignment vertical="center"/>
    </xf>
    <xf numFmtId="177" fontId="23" fillId="2" borderId="70" xfId="5" applyNumberFormat="1" applyFont="1" applyFill="1" applyBorder="1" applyAlignment="1">
      <alignment horizontal="right" vertical="center" wrapText="1"/>
    </xf>
    <xf numFmtId="41" fontId="24" fillId="2" borderId="63" xfId="5" applyFont="1" applyFill="1" applyBorder="1" applyAlignment="1">
      <alignment horizontal="right" vertical="center" wrapText="1"/>
    </xf>
    <xf numFmtId="41" fontId="23" fillId="2" borderId="41" xfId="5" applyFont="1" applyFill="1" applyBorder="1" applyAlignment="1">
      <alignment horizontal="right" vertical="center" wrapText="1"/>
    </xf>
    <xf numFmtId="41" fontId="7" fillId="2" borderId="101" xfId="5" applyFont="1" applyFill="1" applyBorder="1" applyAlignment="1">
      <alignment horizontal="right" vertical="center" wrapText="1"/>
    </xf>
    <xf numFmtId="41" fontId="6" fillId="2" borderId="41" xfId="5" applyFont="1" applyFill="1" applyBorder="1" applyAlignment="1">
      <alignment horizontal="right" vertical="center" wrapText="1"/>
    </xf>
    <xf numFmtId="41" fontId="24" fillId="2" borderId="1" xfId="5" applyFont="1" applyFill="1" applyBorder="1" applyAlignment="1">
      <alignment horizontal="right" vertical="center" wrapText="1"/>
    </xf>
    <xf numFmtId="41" fontId="24" fillId="2" borderId="73" xfId="5" applyFont="1" applyFill="1" applyBorder="1" applyAlignment="1">
      <alignment horizontal="right" vertical="center" wrapText="1"/>
    </xf>
    <xf numFmtId="177" fontId="7" fillId="2" borderId="124" xfId="5" applyNumberFormat="1" applyFont="1" applyFill="1" applyBorder="1" applyAlignment="1">
      <alignment horizontal="right" vertical="center" wrapText="1"/>
    </xf>
    <xf numFmtId="177" fontId="7" fillId="2" borderId="104" xfId="5" applyNumberFormat="1" applyFont="1" applyFill="1" applyBorder="1" applyAlignment="1">
      <alignment horizontal="right" vertical="center" wrapText="1"/>
    </xf>
    <xf numFmtId="177" fontId="6" fillId="2" borderId="41" xfId="5" applyNumberFormat="1" applyFont="1" applyFill="1" applyBorder="1" applyAlignment="1">
      <alignment horizontal="right" vertical="center" wrapText="1"/>
    </xf>
    <xf numFmtId="41" fontId="23" fillId="2" borderId="104" xfId="5" applyFont="1" applyFill="1" applyBorder="1" applyAlignment="1">
      <alignment horizontal="right" vertical="center" wrapText="1"/>
    </xf>
    <xf numFmtId="41" fontId="23" fillId="2" borderId="104" xfId="4" applyNumberFormat="1" applyFont="1" applyFill="1" applyBorder="1" applyAlignment="1">
      <alignment horizontal="right" vertical="center" wrapText="1"/>
    </xf>
    <xf numFmtId="176" fontId="6" fillId="2" borderId="104" xfId="5" applyNumberFormat="1" applyFont="1" applyFill="1" applyBorder="1" applyAlignment="1">
      <alignment horizontal="right" vertical="center" wrapText="1"/>
    </xf>
    <xf numFmtId="176" fontId="16" fillId="10" borderId="81" xfId="0" applyNumberFormat="1" applyFont="1" applyFill="1" applyBorder="1">
      <alignment vertical="center"/>
    </xf>
    <xf numFmtId="176" fontId="16" fillId="10" borderId="1" xfId="0" applyNumberFormat="1" applyFont="1" applyFill="1" applyBorder="1">
      <alignment vertical="center"/>
    </xf>
    <xf numFmtId="176" fontId="16" fillId="10" borderId="37" xfId="0" applyNumberFormat="1" applyFont="1" applyFill="1" applyBorder="1">
      <alignment vertical="center"/>
    </xf>
    <xf numFmtId="176" fontId="16" fillId="10" borderId="63" xfId="0" applyNumberFormat="1" applyFont="1" applyFill="1" applyBorder="1">
      <alignment vertical="center"/>
    </xf>
    <xf numFmtId="178" fontId="16" fillId="10" borderId="37" xfId="0" applyNumberFormat="1" applyFont="1" applyFill="1" applyBorder="1">
      <alignment vertical="center"/>
    </xf>
    <xf numFmtId="178" fontId="16" fillId="10" borderId="63" xfId="0" applyNumberFormat="1" applyFont="1" applyFill="1" applyBorder="1">
      <alignment vertical="center"/>
    </xf>
    <xf numFmtId="176" fontId="7" fillId="10" borderId="81" xfId="0" applyNumberFormat="1" applyFont="1" applyFill="1" applyBorder="1">
      <alignment vertical="center"/>
    </xf>
    <xf numFmtId="176" fontId="7" fillId="10" borderId="1" xfId="0" applyNumberFormat="1" applyFont="1" applyFill="1" applyBorder="1">
      <alignment vertical="center"/>
    </xf>
    <xf numFmtId="177" fontId="23" fillId="8" borderId="79" xfId="5" applyNumberFormat="1" applyFont="1" applyFill="1" applyBorder="1" applyAlignment="1">
      <alignment horizontal="right" vertical="center" wrapText="1"/>
    </xf>
    <xf numFmtId="41" fontId="6" fillId="2" borderId="50" xfId="1" applyFont="1" applyFill="1" applyBorder="1" applyAlignment="1">
      <alignment horizontal="right" vertical="center"/>
    </xf>
    <xf numFmtId="41" fontId="6" fillId="2" borderId="40" xfId="1" applyFont="1" applyFill="1" applyBorder="1" applyAlignment="1">
      <alignment horizontal="right" vertical="center"/>
    </xf>
    <xf numFmtId="41" fontId="6" fillId="2" borderId="76" xfId="1" applyFont="1" applyFill="1" applyBorder="1" applyAlignment="1">
      <alignment horizontal="right" vertical="center"/>
    </xf>
    <xf numFmtId="41" fontId="7" fillId="2" borderId="6" xfId="1" applyFont="1" applyFill="1" applyBorder="1" applyAlignment="1">
      <alignment horizontal="right" vertical="center"/>
    </xf>
    <xf numFmtId="41" fontId="7" fillId="2" borderId="83" xfId="1" applyFont="1" applyFill="1" applyBorder="1" applyAlignment="1">
      <alignment horizontal="right" vertical="center"/>
    </xf>
    <xf numFmtId="41" fontId="7" fillId="2" borderId="149" xfId="1" applyFont="1" applyFill="1" applyBorder="1" applyAlignment="1">
      <alignment horizontal="right" vertical="center"/>
    </xf>
    <xf numFmtId="41" fontId="6" fillId="2" borderId="84" xfId="1" applyFont="1" applyFill="1" applyBorder="1" applyAlignment="1">
      <alignment horizontal="right" vertical="center"/>
    </xf>
    <xf numFmtId="41" fontId="7" fillId="2" borderId="36" xfId="1" applyFont="1" applyFill="1" applyBorder="1" applyAlignment="1">
      <alignment horizontal="right" vertical="center"/>
    </xf>
    <xf numFmtId="176" fontId="7" fillId="2" borderId="158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top" wrapText="1"/>
    </xf>
    <xf numFmtId="176" fontId="7" fillId="2" borderId="10" xfId="0" applyNumberFormat="1" applyFont="1" applyFill="1" applyBorder="1" applyAlignment="1">
      <alignment horizontal="right" vertical="center"/>
    </xf>
    <xf numFmtId="176" fontId="7" fillId="2" borderId="65" xfId="0" applyNumberFormat="1" applyFont="1" applyFill="1" applyBorder="1" applyAlignment="1">
      <alignment horizontal="right" vertical="center"/>
    </xf>
    <xf numFmtId="177" fontId="43" fillId="2" borderId="133" xfId="1" applyNumberFormat="1" applyFont="1" applyFill="1" applyBorder="1" applyAlignment="1">
      <alignment horizontal="right" vertical="center" wrapText="1"/>
    </xf>
    <xf numFmtId="176" fontId="7" fillId="2" borderId="2" xfId="0" applyNumberFormat="1" applyFont="1" applyFill="1" applyBorder="1" applyAlignment="1">
      <alignment horizontal="left" vertical="center" wrapText="1" shrinkToFit="1"/>
    </xf>
    <xf numFmtId="176" fontId="7" fillId="2" borderId="64" xfId="0" applyNumberFormat="1" applyFont="1" applyFill="1" applyBorder="1" applyAlignment="1">
      <alignment horizontal="left" vertical="center" shrinkToFit="1"/>
    </xf>
    <xf numFmtId="176" fontId="7" fillId="2" borderId="71" xfId="0" applyNumberFormat="1" applyFont="1" applyFill="1" applyBorder="1" applyAlignment="1">
      <alignment horizontal="left" vertical="center" shrinkToFit="1"/>
    </xf>
    <xf numFmtId="176" fontId="7" fillId="2" borderId="75" xfId="0" applyNumberFormat="1" applyFont="1" applyFill="1" applyBorder="1" applyAlignment="1">
      <alignment horizontal="left" vertical="center" shrinkToFit="1"/>
    </xf>
    <xf numFmtId="176" fontId="7" fillId="2" borderId="44" xfId="0" applyNumberFormat="1" applyFont="1" applyFill="1" applyBorder="1" applyAlignment="1">
      <alignment horizontal="left" vertical="center" shrinkToFit="1"/>
    </xf>
    <xf numFmtId="176" fontId="7" fillId="2" borderId="45" xfId="0" applyNumberFormat="1" applyFont="1" applyFill="1" applyBorder="1" applyAlignment="1">
      <alignment horizontal="left" vertical="center" shrinkToFit="1"/>
    </xf>
    <xf numFmtId="176" fontId="7" fillId="2" borderId="29" xfId="0" applyNumberFormat="1" applyFont="1" applyFill="1" applyBorder="1" applyAlignment="1">
      <alignment horizontal="left" vertical="center" shrinkToFit="1"/>
    </xf>
    <xf numFmtId="176" fontId="6" fillId="2" borderId="42" xfId="0" applyNumberFormat="1" applyFont="1" applyFill="1" applyBorder="1" applyAlignment="1">
      <alignment horizontal="left" vertical="center" shrinkToFit="1"/>
    </xf>
    <xf numFmtId="176" fontId="7" fillId="2" borderId="42" xfId="0" applyNumberFormat="1" applyFont="1" applyFill="1" applyBorder="1" applyAlignment="1">
      <alignment horizontal="left" vertical="center"/>
    </xf>
    <xf numFmtId="177" fontId="7" fillId="2" borderId="159" xfId="0" applyNumberFormat="1" applyFont="1" applyFill="1" applyBorder="1" applyAlignment="1">
      <alignment horizontal="right" vertical="center"/>
    </xf>
    <xf numFmtId="177" fontId="7" fillId="2" borderId="81" xfId="0" applyNumberFormat="1" applyFont="1" applyFill="1" applyBorder="1" applyAlignment="1">
      <alignment horizontal="center" vertical="center"/>
    </xf>
    <xf numFmtId="177" fontId="7" fillId="2" borderId="30" xfId="0" applyNumberFormat="1" applyFont="1" applyFill="1" applyBorder="1" applyAlignment="1">
      <alignment horizontal="center" vertical="center"/>
    </xf>
    <xf numFmtId="177" fontId="6" fillId="2" borderId="53" xfId="0" applyNumberFormat="1" applyFont="1" applyFill="1" applyBorder="1" applyAlignment="1">
      <alignment horizontal="center" vertical="center"/>
    </xf>
    <xf numFmtId="177" fontId="43" fillId="2" borderId="70" xfId="1" applyNumberFormat="1" applyFont="1" applyFill="1" applyBorder="1" applyAlignment="1">
      <alignment horizontal="right" vertical="center" wrapText="1"/>
    </xf>
    <xf numFmtId="177" fontId="6" fillId="2" borderId="133" xfId="5" applyNumberFormat="1" applyFont="1" applyFill="1" applyBorder="1" applyAlignment="1">
      <alignment horizontal="right" vertical="center" wrapText="1"/>
    </xf>
    <xf numFmtId="0" fontId="7" fillId="2" borderId="73" xfId="0" applyFont="1" applyFill="1" applyBorder="1" applyAlignment="1">
      <alignment horizontal="left" vertical="top" wrapText="1"/>
    </xf>
    <xf numFmtId="0" fontId="7" fillId="2" borderId="63" xfId="0" applyFont="1" applyFill="1" applyBorder="1" applyAlignment="1">
      <alignment vertical="top" wrapText="1"/>
    </xf>
    <xf numFmtId="177" fontId="29" fillId="2" borderId="63" xfId="1" applyNumberFormat="1" applyFont="1" applyFill="1" applyBorder="1" applyAlignment="1">
      <alignment horizontal="right" vertical="center" wrapText="1"/>
    </xf>
    <xf numFmtId="179" fontId="16" fillId="10" borderId="152" xfId="0" applyNumberFormat="1" applyFont="1" applyFill="1" applyBorder="1" applyAlignment="1">
      <alignment vertical="center" wrapText="1"/>
    </xf>
    <xf numFmtId="177" fontId="24" fillId="2" borderId="84" xfId="5" applyNumberFormat="1" applyFont="1" applyFill="1" applyBorder="1" applyAlignment="1">
      <alignment horizontal="right" vertical="center" wrapText="1"/>
    </xf>
    <xf numFmtId="41" fontId="24" fillId="2" borderId="1" xfId="1" applyFont="1" applyFill="1" applyBorder="1" applyAlignment="1">
      <alignment horizontal="right" vertical="center" wrapText="1"/>
    </xf>
    <xf numFmtId="0" fontId="7" fillId="2" borderId="63" xfId="0" applyFont="1" applyFill="1" applyBorder="1" applyAlignment="1">
      <alignment vertical="top" wrapText="1"/>
    </xf>
    <xf numFmtId="41" fontId="43" fillId="2" borderId="1" xfId="1" applyFont="1" applyFill="1" applyBorder="1" applyAlignment="1">
      <alignment horizontal="center" vertical="center"/>
    </xf>
    <xf numFmtId="41" fontId="43" fillId="2" borderId="73" xfId="1" applyFont="1" applyFill="1" applyBorder="1" applyAlignment="1">
      <alignment horizontal="center" vertical="center"/>
    </xf>
    <xf numFmtId="177" fontId="43" fillId="2" borderId="73" xfId="1" applyNumberFormat="1" applyFont="1" applyFill="1" applyBorder="1" applyAlignment="1">
      <alignment horizontal="right" vertical="center"/>
    </xf>
    <xf numFmtId="41" fontId="43" fillId="2" borderId="63" xfId="1" applyFont="1" applyFill="1" applyBorder="1" applyAlignment="1">
      <alignment horizontal="center" vertical="center"/>
    </xf>
    <xf numFmtId="41" fontId="44" fillId="2" borderId="63" xfId="1" applyFont="1" applyFill="1" applyBorder="1" applyAlignment="1">
      <alignment horizontal="center" vertical="center"/>
    </xf>
    <xf numFmtId="41" fontId="7" fillId="2" borderId="27" xfId="1" applyFont="1" applyFill="1" applyBorder="1" applyAlignment="1">
      <alignment horizontal="center" vertical="center"/>
    </xf>
    <xf numFmtId="41" fontId="6" fillId="2" borderId="41" xfId="1" applyFont="1" applyFill="1" applyBorder="1" applyAlignment="1">
      <alignment horizontal="center" vertical="center"/>
    </xf>
    <xf numFmtId="41" fontId="6" fillId="2" borderId="34" xfId="0" applyNumberFormat="1" applyFont="1" applyFill="1" applyBorder="1" applyAlignment="1">
      <alignment horizontal="center" vertical="center"/>
    </xf>
    <xf numFmtId="177" fontId="44" fillId="2" borderId="104" xfId="1" applyNumberFormat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center" vertical="center"/>
    </xf>
    <xf numFmtId="41" fontId="7" fillId="2" borderId="63" xfId="1" applyFont="1" applyFill="1" applyBorder="1" applyAlignment="1">
      <alignment horizontal="center" vertical="center"/>
    </xf>
    <xf numFmtId="41" fontId="7" fillId="2" borderId="108" xfId="0" applyNumberFormat="1" applyFont="1" applyFill="1" applyBorder="1" applyAlignment="1">
      <alignment horizontal="center" vertical="center"/>
    </xf>
    <xf numFmtId="41" fontId="6" fillId="2" borderId="70" xfId="1" applyFont="1" applyFill="1" applyBorder="1" applyAlignment="1">
      <alignment horizontal="center" vertical="center"/>
    </xf>
    <xf numFmtId="41" fontId="6" fillId="2" borderId="82" xfId="0" applyNumberFormat="1" applyFont="1" applyFill="1" applyBorder="1" applyAlignment="1">
      <alignment horizontal="center" vertical="center"/>
    </xf>
    <xf numFmtId="41" fontId="7" fillId="2" borderId="73" xfId="1" applyFont="1" applyFill="1" applyBorder="1" applyAlignment="1">
      <alignment horizontal="center" vertical="center"/>
    </xf>
    <xf numFmtId="41" fontId="6" fillId="2" borderId="40" xfId="0" applyNumberFormat="1" applyFont="1" applyFill="1" applyBorder="1" applyAlignment="1">
      <alignment horizontal="center" vertical="center"/>
    </xf>
    <xf numFmtId="41" fontId="6" fillId="2" borderId="53" xfId="0" applyNumberFormat="1" applyFont="1" applyFill="1" applyBorder="1" applyAlignment="1">
      <alignment horizontal="center" vertical="center"/>
    </xf>
    <xf numFmtId="41" fontId="6" fillId="2" borderId="63" xfId="1" applyFont="1" applyFill="1" applyBorder="1" applyAlignment="1">
      <alignment horizontal="center" vertical="center"/>
    </xf>
    <xf numFmtId="41" fontId="6" fillId="2" borderId="7" xfId="0" applyNumberFormat="1" applyFont="1" applyFill="1" applyBorder="1" applyAlignment="1">
      <alignment horizontal="center" vertical="center"/>
    </xf>
    <xf numFmtId="41" fontId="7" fillId="2" borderId="39" xfId="1" applyFont="1" applyFill="1" applyBorder="1" applyAlignment="1">
      <alignment horizontal="center" vertical="center"/>
    </xf>
    <xf numFmtId="41" fontId="6" fillId="2" borderId="41" xfId="0" applyNumberFormat="1" applyFont="1" applyFill="1" applyBorder="1" applyAlignment="1">
      <alignment horizontal="center" vertical="center"/>
    </xf>
    <xf numFmtId="177" fontId="44" fillId="2" borderId="7" xfId="1" applyNumberFormat="1" applyFont="1" applyFill="1" applyBorder="1" applyAlignment="1">
      <alignment horizontal="right" vertical="center"/>
    </xf>
    <xf numFmtId="41" fontId="7" fillId="2" borderId="122" xfId="0" applyNumberFormat="1" applyFont="1" applyFill="1" applyBorder="1" applyAlignment="1">
      <alignment horizontal="center" vertical="center"/>
    </xf>
    <xf numFmtId="41" fontId="7" fillId="2" borderId="43" xfId="0" applyNumberFormat="1" applyFont="1" applyFill="1" applyBorder="1" applyAlignment="1">
      <alignment horizontal="center" vertical="center"/>
    </xf>
    <xf numFmtId="177" fontId="43" fillId="2" borderId="1" xfId="1" applyNumberFormat="1" applyFont="1" applyFill="1" applyBorder="1" applyAlignment="1">
      <alignment horizontal="right" vertical="center"/>
    </xf>
    <xf numFmtId="41" fontId="6" fillId="2" borderId="68" xfId="0" applyNumberFormat="1" applyFont="1" applyFill="1" applyBorder="1" applyAlignment="1">
      <alignment horizontal="center" vertical="center"/>
    </xf>
    <xf numFmtId="177" fontId="44" fillId="2" borderId="73" xfId="1" applyNumberFormat="1" applyFont="1" applyFill="1" applyBorder="1" applyAlignment="1">
      <alignment horizontal="right" vertical="center"/>
    </xf>
    <xf numFmtId="41" fontId="6" fillId="4" borderId="85" xfId="0" applyNumberFormat="1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177" fontId="6" fillId="4" borderId="41" xfId="0" applyNumberFormat="1" applyFont="1" applyFill="1" applyBorder="1" applyAlignment="1">
      <alignment horizontal="right" vertical="center"/>
    </xf>
    <xf numFmtId="9" fontId="7" fillId="2" borderId="119" xfId="0" applyNumberFormat="1" applyFont="1" applyFill="1" applyBorder="1" applyAlignment="1">
      <alignment horizontal="right" vertical="center"/>
    </xf>
    <xf numFmtId="41" fontId="7" fillId="2" borderId="27" xfId="15" applyFont="1" applyFill="1" applyBorder="1" applyAlignment="1">
      <alignment horizontal="center" vertical="center"/>
    </xf>
    <xf numFmtId="41" fontId="6" fillId="2" borderId="41" xfId="15" applyFont="1" applyFill="1" applyBorder="1" applyAlignment="1">
      <alignment horizontal="center" vertical="center"/>
    </xf>
    <xf numFmtId="41" fontId="43" fillId="2" borderId="1" xfId="15" applyFont="1" applyFill="1" applyBorder="1" applyAlignment="1">
      <alignment horizontal="center" vertical="center"/>
    </xf>
    <xf numFmtId="41" fontId="43" fillId="2" borderId="63" xfId="15" applyFont="1" applyFill="1" applyBorder="1" applyAlignment="1">
      <alignment horizontal="center" vertical="center"/>
    </xf>
    <xf numFmtId="41" fontId="7" fillId="2" borderId="73" xfId="0" applyNumberFormat="1" applyFont="1" applyFill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 vertical="center"/>
    </xf>
    <xf numFmtId="41" fontId="7" fillId="2" borderId="63" xfId="0" applyNumberFormat="1" applyFont="1" applyFill="1" applyBorder="1" applyAlignment="1">
      <alignment horizontal="center" vertical="center"/>
    </xf>
    <xf numFmtId="41" fontId="7" fillId="2" borderId="27" xfId="16" applyFont="1" applyFill="1" applyBorder="1" applyAlignment="1">
      <alignment horizontal="center" vertical="center"/>
    </xf>
    <xf numFmtId="41" fontId="7" fillId="2" borderId="1" xfId="16" applyFont="1" applyFill="1" applyBorder="1" applyAlignment="1">
      <alignment horizontal="center" vertical="center"/>
    </xf>
    <xf numFmtId="41" fontId="7" fillId="2" borderId="63" xfId="16" applyFont="1" applyFill="1" applyBorder="1" applyAlignment="1">
      <alignment horizontal="center" vertical="center"/>
    </xf>
    <xf numFmtId="41" fontId="6" fillId="2" borderId="70" xfId="16" applyFont="1" applyFill="1" applyBorder="1" applyAlignment="1">
      <alignment horizontal="center" vertical="center"/>
    </xf>
    <xf numFmtId="41" fontId="7" fillId="2" borderId="73" xfId="16" applyFont="1" applyFill="1" applyBorder="1" applyAlignment="1">
      <alignment horizontal="center" vertical="center"/>
    </xf>
    <xf numFmtId="41" fontId="6" fillId="2" borderId="40" xfId="0" applyNumberFormat="1" applyFont="1" applyFill="1" applyBorder="1" applyAlignment="1">
      <alignment horizontal="center" vertical="center"/>
    </xf>
    <xf numFmtId="41" fontId="6" fillId="2" borderId="7" xfId="0" applyNumberFormat="1" applyFont="1" applyFill="1" applyBorder="1" applyAlignment="1">
      <alignment horizontal="center" vertical="center"/>
    </xf>
    <xf numFmtId="41" fontId="7" fillId="2" borderId="39" xfId="16" applyFont="1" applyFill="1" applyBorder="1" applyAlignment="1">
      <alignment horizontal="center" vertical="center"/>
    </xf>
    <xf numFmtId="41" fontId="6" fillId="4" borderId="85" xfId="0" applyNumberFormat="1" applyFont="1" applyFill="1" applyBorder="1" applyAlignment="1">
      <alignment horizontal="center" vertical="center"/>
    </xf>
    <xf numFmtId="41" fontId="6" fillId="2" borderId="70" xfId="0" applyNumberFormat="1" applyFont="1" applyFill="1" applyBorder="1" applyAlignment="1">
      <alignment horizontal="center" vertical="center"/>
    </xf>
    <xf numFmtId="41" fontId="6" fillId="2" borderId="68" xfId="0" applyNumberFormat="1" applyFont="1" applyFill="1" applyBorder="1" applyAlignment="1">
      <alignment horizontal="center" vertical="center"/>
    </xf>
    <xf numFmtId="41" fontId="7" fillId="2" borderId="63" xfId="0" applyNumberFormat="1" applyFont="1" applyFill="1" applyBorder="1" applyAlignment="1">
      <alignment horizontal="right" vertical="center"/>
    </xf>
    <xf numFmtId="41" fontId="7" fillId="2" borderId="73" xfId="0" applyNumberFormat="1" applyFont="1" applyFill="1" applyBorder="1" applyAlignment="1">
      <alignment horizontal="right" vertical="center"/>
    </xf>
    <xf numFmtId="176" fontId="24" fillId="2" borderId="73" xfId="4" applyNumberFormat="1" applyFont="1" applyFill="1" applyBorder="1" applyAlignment="1">
      <alignment horizontal="right" vertical="center" wrapText="1"/>
    </xf>
    <xf numFmtId="41" fontId="6" fillId="2" borderId="70" xfId="0" applyNumberFormat="1" applyFont="1" applyFill="1" applyBorder="1" applyAlignment="1">
      <alignment horizontal="right" vertical="center"/>
    </xf>
    <xf numFmtId="41" fontId="6" fillId="2" borderId="84" xfId="0" applyNumberFormat="1" applyFont="1" applyFill="1" applyBorder="1" applyAlignment="1">
      <alignment horizontal="right" vertical="center"/>
    </xf>
    <xf numFmtId="41" fontId="6" fillId="2" borderId="50" xfId="0" applyNumberFormat="1" applyFont="1" applyFill="1" applyBorder="1" applyAlignment="1">
      <alignment horizontal="right" vertical="center"/>
    </xf>
    <xf numFmtId="41" fontId="7" fillId="2" borderId="63" xfId="16" applyFont="1" applyFill="1" applyBorder="1" applyAlignment="1">
      <alignment horizontal="right" vertical="center"/>
    </xf>
    <xf numFmtId="41" fontId="7" fillId="2" borderId="1" xfId="16" applyFont="1" applyFill="1" applyBorder="1" applyAlignment="1">
      <alignment horizontal="right" vertical="center"/>
    </xf>
    <xf numFmtId="41" fontId="7" fillId="2" borderId="43" xfId="16" applyFont="1" applyFill="1" applyBorder="1" applyAlignment="1">
      <alignment horizontal="right" vertical="center"/>
    </xf>
    <xf numFmtId="41" fontId="7" fillId="2" borderId="28" xfId="16" applyFont="1" applyFill="1" applyBorder="1" applyAlignment="1">
      <alignment horizontal="right" vertical="center"/>
    </xf>
    <xf numFmtId="41" fontId="7" fillId="2" borderId="68" xfId="16" applyFont="1" applyFill="1" applyBorder="1" applyAlignment="1">
      <alignment horizontal="right" vertical="center"/>
    </xf>
    <xf numFmtId="41" fontId="6" fillId="2" borderId="63" xfId="0" applyNumberFormat="1" applyFont="1" applyFill="1" applyBorder="1" applyAlignment="1">
      <alignment horizontal="right" vertical="center"/>
    </xf>
    <xf numFmtId="41" fontId="6" fillId="8" borderId="85" xfId="0" applyNumberFormat="1" applyFont="1" applyFill="1" applyBorder="1" applyAlignment="1">
      <alignment horizontal="right" vertical="center"/>
    </xf>
    <xf numFmtId="41" fontId="6" fillId="2" borderId="40" xfId="16" applyFont="1" applyFill="1" applyBorder="1" applyAlignment="1">
      <alignment horizontal="right" vertical="center"/>
    </xf>
    <xf numFmtId="41" fontId="7" fillId="2" borderId="147" xfId="16" applyFont="1" applyFill="1" applyBorder="1" applyAlignment="1">
      <alignment horizontal="right" vertical="center"/>
    </xf>
    <xf numFmtId="41" fontId="6" fillId="2" borderId="76" xfId="16" applyFont="1" applyFill="1" applyBorder="1" applyAlignment="1">
      <alignment horizontal="right" vertical="center"/>
    </xf>
    <xf numFmtId="41" fontId="6" fillId="2" borderId="50" xfId="16" applyFont="1" applyFill="1" applyBorder="1" applyAlignment="1">
      <alignment horizontal="right" vertical="center"/>
    </xf>
    <xf numFmtId="41" fontId="6" fillId="2" borderId="41" xfId="16" applyFont="1" applyFill="1" applyBorder="1" applyAlignment="1">
      <alignment horizontal="right" vertical="center"/>
    </xf>
    <xf numFmtId="41" fontId="6" fillId="2" borderId="84" xfId="16" applyFont="1" applyFill="1" applyBorder="1" applyAlignment="1">
      <alignment horizontal="right" vertical="center"/>
    </xf>
    <xf numFmtId="41" fontId="7" fillId="2" borderId="65" xfId="16" applyFont="1" applyFill="1" applyBorder="1" applyAlignment="1">
      <alignment horizontal="right" vertical="center"/>
    </xf>
    <xf numFmtId="41" fontId="43" fillId="2" borderId="73" xfId="16" applyFont="1" applyFill="1" applyBorder="1" applyAlignment="1">
      <alignment horizontal="center" vertical="center"/>
    </xf>
    <xf numFmtId="41" fontId="43" fillId="2" borderId="1" xfId="16" applyFont="1" applyFill="1" applyBorder="1" applyAlignment="1">
      <alignment horizontal="center" vertical="center"/>
    </xf>
    <xf numFmtId="176" fontId="43" fillId="2" borderId="73" xfId="1" applyNumberFormat="1" applyFont="1" applyFill="1" applyBorder="1" applyAlignment="1">
      <alignment horizontal="right" vertical="center"/>
    </xf>
    <xf numFmtId="176" fontId="7" fillId="2" borderId="107" xfId="0" applyNumberFormat="1" applyFont="1" applyFill="1" applyBorder="1" applyAlignment="1">
      <alignment horizontal="right" vertical="center"/>
    </xf>
    <xf numFmtId="176" fontId="7" fillId="2" borderId="34" xfId="0" applyNumberFormat="1" applyFont="1" applyFill="1" applyBorder="1" applyAlignment="1">
      <alignment horizontal="right" vertical="center"/>
    </xf>
    <xf numFmtId="177" fontId="6" fillId="8" borderId="85" xfId="5" applyNumberFormat="1" applyFont="1" applyFill="1" applyBorder="1" applyAlignment="1">
      <alignment horizontal="right" vertical="center" wrapText="1"/>
    </xf>
    <xf numFmtId="176" fontId="6" fillId="2" borderId="34" xfId="0" applyNumberFormat="1" applyFont="1" applyFill="1" applyBorder="1" applyAlignment="1">
      <alignment horizontal="right" vertical="center"/>
    </xf>
    <xf numFmtId="41" fontId="29" fillId="2" borderId="73" xfId="1" applyFont="1" applyFill="1" applyBorder="1" applyAlignment="1">
      <alignment horizontal="right" vertical="center" wrapText="1"/>
    </xf>
    <xf numFmtId="176" fontId="6" fillId="2" borderId="85" xfId="0" applyNumberFormat="1" applyFont="1" applyFill="1" applyBorder="1" applyAlignment="1">
      <alignment horizontal="right" vertical="center"/>
    </xf>
    <xf numFmtId="176" fontId="16" fillId="2" borderId="63" xfId="0" applyNumberFormat="1" applyFont="1" applyFill="1" applyBorder="1" applyAlignment="1">
      <alignment horizontal="right" vertical="center"/>
    </xf>
    <xf numFmtId="41" fontId="16" fillId="2" borderId="73" xfId="0" applyNumberFormat="1" applyFont="1" applyFill="1" applyBorder="1" applyAlignment="1">
      <alignment horizontal="right" vertical="center"/>
    </xf>
    <xf numFmtId="41" fontId="16" fillId="2" borderId="54" xfId="0" applyNumberFormat="1" applyFont="1" applyFill="1" applyBorder="1" applyAlignment="1">
      <alignment horizontal="right" vertical="center"/>
    </xf>
    <xf numFmtId="41" fontId="16" fillId="2" borderId="63" xfId="0" applyNumberFormat="1" applyFont="1" applyFill="1" applyBorder="1" applyAlignment="1">
      <alignment horizontal="right" vertical="center"/>
    </xf>
    <xf numFmtId="176" fontId="16" fillId="2" borderId="28" xfId="0" applyNumberFormat="1" applyFont="1" applyFill="1" applyBorder="1" applyAlignment="1">
      <alignment horizontal="right" vertical="center"/>
    </xf>
    <xf numFmtId="41" fontId="16" fillId="2" borderId="28" xfId="0" applyNumberFormat="1" applyFont="1" applyFill="1" applyBorder="1" applyAlignment="1">
      <alignment horizontal="right" vertical="center"/>
    </xf>
    <xf numFmtId="41" fontId="16" fillId="2" borderId="34" xfId="0" applyNumberFormat="1" applyFont="1" applyFill="1" applyBorder="1" applyAlignment="1">
      <alignment horizontal="right" vertical="center"/>
    </xf>
    <xf numFmtId="176" fontId="16" fillId="2" borderId="68" xfId="0" applyNumberFormat="1" applyFont="1" applyFill="1" applyBorder="1" applyAlignment="1">
      <alignment horizontal="right" vertical="center"/>
    </xf>
    <xf numFmtId="41" fontId="16" fillId="2" borderId="115" xfId="0" applyNumberFormat="1" applyFont="1" applyFill="1" applyBorder="1" applyAlignment="1">
      <alignment horizontal="right" vertical="center"/>
    </xf>
    <xf numFmtId="41" fontId="16" fillId="2" borderId="27" xfId="0" applyNumberFormat="1" applyFont="1" applyFill="1" applyBorder="1" applyAlignment="1">
      <alignment horizontal="right" vertical="center"/>
    </xf>
    <xf numFmtId="41" fontId="16" fillId="2" borderId="39" xfId="0" applyNumberFormat="1" applyFont="1" applyFill="1" applyBorder="1" applyAlignment="1">
      <alignment horizontal="right" vertical="center"/>
    </xf>
    <xf numFmtId="176" fontId="16" fillId="2" borderId="73" xfId="0" applyNumberFormat="1" applyFont="1" applyFill="1" applyBorder="1" applyAlignment="1">
      <alignment horizontal="right" vertical="center"/>
    </xf>
    <xf numFmtId="177" fontId="7" fillId="2" borderId="105" xfId="0" applyNumberFormat="1" applyFont="1" applyFill="1" applyBorder="1" applyAlignment="1">
      <alignment horizontal="right" vertical="center"/>
    </xf>
    <xf numFmtId="176" fontId="7" fillId="2" borderId="41" xfId="0" applyNumberFormat="1" applyFont="1" applyFill="1" applyBorder="1" applyAlignment="1">
      <alignment horizontal="right" vertical="center"/>
    </xf>
    <xf numFmtId="177" fontId="7" fillId="2" borderId="161" xfId="0" applyNumberFormat="1" applyFont="1" applyFill="1" applyBorder="1" applyAlignment="1">
      <alignment horizontal="right" vertical="center"/>
    </xf>
    <xf numFmtId="176" fontId="48" fillId="13" borderId="29" xfId="0" applyNumberFormat="1" applyFont="1" applyFill="1" applyBorder="1" applyAlignment="1">
      <alignment horizontal="left" vertical="center" wrapText="1"/>
    </xf>
    <xf numFmtId="176" fontId="16" fillId="2" borderId="64" xfId="0" applyNumberFormat="1" applyFont="1" applyFill="1" applyBorder="1" applyAlignment="1">
      <alignment horizontal="left" vertical="center" wrapText="1"/>
    </xf>
    <xf numFmtId="176" fontId="16" fillId="2" borderId="29" xfId="0" applyNumberFormat="1" applyFont="1" applyFill="1" applyBorder="1" applyAlignment="1">
      <alignment horizontal="left" vertical="top" wrapText="1"/>
    </xf>
    <xf numFmtId="176" fontId="7" fillId="2" borderId="64" xfId="0" applyNumberFormat="1" applyFont="1" applyFill="1" applyBorder="1" applyAlignment="1">
      <alignment horizontal="left" vertical="center" wrapText="1"/>
    </xf>
    <xf numFmtId="41" fontId="7" fillId="2" borderId="162" xfId="0" applyNumberFormat="1" applyFont="1" applyFill="1" applyBorder="1" applyAlignment="1">
      <alignment horizontal="right" vertical="center"/>
    </xf>
    <xf numFmtId="41" fontId="6" fillId="2" borderId="140" xfId="0" applyNumberFormat="1" applyFont="1" applyFill="1" applyBorder="1" applyAlignment="1">
      <alignment horizontal="right" vertical="center"/>
    </xf>
    <xf numFmtId="176" fontId="13" fillId="3" borderId="1" xfId="4" applyNumberFormat="1" applyFont="1" applyFill="1" applyBorder="1" applyAlignment="1">
      <alignment horizontal="left" vertical="top" wrapText="1"/>
    </xf>
    <xf numFmtId="176" fontId="13" fillId="3" borderId="73" xfId="4" applyNumberFormat="1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 wrapText="1"/>
    </xf>
    <xf numFmtId="0" fontId="7" fillId="2" borderId="6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23" fillId="2" borderId="70" xfId="4" applyNumberFormat="1" applyFont="1" applyFill="1" applyBorder="1" applyAlignment="1">
      <alignment horizontal="center" vertical="top" wrapText="1"/>
    </xf>
    <xf numFmtId="0" fontId="24" fillId="2" borderId="63" xfId="4" applyNumberFormat="1" applyFont="1" applyFill="1" applyBorder="1" applyAlignment="1">
      <alignment horizontal="left" vertical="center" wrapText="1"/>
    </xf>
    <xf numFmtId="0" fontId="24" fillId="2" borderId="73" xfId="4" applyNumberFormat="1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vertical="top" wrapText="1"/>
    </xf>
    <xf numFmtId="0" fontId="7" fillId="2" borderId="63" xfId="0" applyFont="1" applyFill="1" applyBorder="1" applyAlignment="1">
      <alignment vertical="top" wrapText="1"/>
    </xf>
    <xf numFmtId="176" fontId="24" fillId="2" borderId="32" xfId="4" applyNumberFormat="1" applyFont="1" applyFill="1" applyBorder="1" applyAlignment="1">
      <alignment horizontal="right" vertical="top" wrapText="1"/>
    </xf>
    <xf numFmtId="41" fontId="24" fillId="2" borderId="8" xfId="4" applyNumberFormat="1" applyFont="1" applyFill="1" applyBorder="1" applyAlignment="1">
      <alignment horizontal="right" vertical="top" wrapText="1"/>
    </xf>
    <xf numFmtId="176" fontId="23" fillId="2" borderId="76" xfId="4" applyNumberFormat="1" applyFont="1" applyFill="1" applyBorder="1" applyAlignment="1">
      <alignment horizontal="right" vertical="top" wrapText="1"/>
    </xf>
    <xf numFmtId="176" fontId="16" fillId="10" borderId="8" xfId="0" applyNumberFormat="1" applyFont="1" applyFill="1" applyBorder="1" applyAlignment="1">
      <alignment vertical="top"/>
    </xf>
    <xf numFmtId="176" fontId="23" fillId="2" borderId="41" xfId="4" applyNumberFormat="1" applyFont="1" applyFill="1" applyBorder="1" applyAlignment="1">
      <alignment horizontal="right" vertical="center" wrapText="1"/>
    </xf>
    <xf numFmtId="177" fontId="23" fillId="2" borderId="6" xfId="5" applyNumberFormat="1" applyFont="1" applyFill="1" applyBorder="1" applyAlignment="1">
      <alignment horizontal="right" vertical="top" wrapText="1"/>
    </xf>
    <xf numFmtId="177" fontId="29" fillId="2" borderId="22" xfId="1" applyNumberFormat="1" applyFont="1" applyFill="1" applyBorder="1" applyAlignment="1">
      <alignment horizontal="left" vertical="center" wrapText="1"/>
    </xf>
    <xf numFmtId="177" fontId="29" fillId="2" borderId="57" xfId="1" applyNumberFormat="1" applyFont="1" applyFill="1" applyBorder="1" applyAlignment="1">
      <alignment horizontal="left" vertical="center" wrapText="1"/>
    </xf>
    <xf numFmtId="177" fontId="29" fillId="2" borderId="64" xfId="1" applyNumberFormat="1" applyFont="1" applyFill="1" applyBorder="1" applyAlignment="1">
      <alignment horizontal="left" vertical="center" wrapText="1"/>
    </xf>
    <xf numFmtId="176" fontId="7" fillId="2" borderId="64" xfId="0" applyNumberFormat="1" applyFont="1" applyFill="1" applyBorder="1" applyAlignment="1">
      <alignment vertical="center"/>
    </xf>
    <xf numFmtId="176" fontId="7" fillId="2" borderId="64" xfId="0" applyNumberFormat="1" applyFont="1" applyFill="1" applyBorder="1" applyAlignment="1">
      <alignment vertical="center" wrapText="1"/>
    </xf>
    <xf numFmtId="177" fontId="44" fillId="2" borderId="133" xfId="1" applyNumberFormat="1" applyFont="1" applyFill="1" applyBorder="1" applyAlignment="1">
      <alignment horizontal="right" vertical="center"/>
    </xf>
    <xf numFmtId="176" fontId="27" fillId="0" borderId="73" xfId="0" applyNumberFormat="1" applyFont="1" applyBorder="1">
      <alignment vertical="center"/>
    </xf>
    <xf numFmtId="176" fontId="5" fillId="11" borderId="70" xfId="0" applyNumberFormat="1" applyFont="1" applyFill="1" applyBorder="1">
      <alignment vertical="center"/>
    </xf>
    <xf numFmtId="41" fontId="27" fillId="2" borderId="73" xfId="0" applyNumberFormat="1" applyFont="1" applyFill="1" applyBorder="1">
      <alignment vertical="center"/>
    </xf>
    <xf numFmtId="41" fontId="27" fillId="2" borderId="63" xfId="0" applyNumberFormat="1" applyFont="1" applyFill="1" applyBorder="1">
      <alignment vertical="center"/>
    </xf>
    <xf numFmtId="41" fontId="51" fillId="2" borderId="120" xfId="5" applyNumberFormat="1" applyFont="1" applyFill="1" applyBorder="1" applyAlignment="1">
      <alignment vertical="center" wrapText="1"/>
    </xf>
    <xf numFmtId="41" fontId="24" fillId="2" borderId="75" xfId="5" applyNumberFormat="1" applyFont="1" applyFill="1" applyBorder="1" applyAlignment="1">
      <alignment horizontal="left" vertical="center" wrapText="1"/>
    </xf>
    <xf numFmtId="176" fontId="43" fillId="2" borderId="73" xfId="1" applyNumberFormat="1" applyFont="1" applyFill="1" applyBorder="1" applyAlignment="1">
      <alignment horizontal="right" vertical="center" wrapText="1"/>
    </xf>
    <xf numFmtId="41" fontId="7" fillId="2" borderId="156" xfId="0" applyNumberFormat="1" applyFont="1" applyFill="1" applyBorder="1" applyAlignment="1">
      <alignment horizontal="right" vertical="center"/>
    </xf>
    <xf numFmtId="176" fontId="7" fillId="2" borderId="156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0" fillId="0" borderId="17" xfId="0" applyBorder="1">
      <alignment vertical="center"/>
    </xf>
    <xf numFmtId="41" fontId="0" fillId="0" borderId="63" xfId="4" applyNumberFormat="1" applyFont="1" applyFill="1" applyBorder="1" applyAlignment="1">
      <alignment horizontal="right" vertical="center" wrapText="1"/>
    </xf>
    <xf numFmtId="176" fontId="0" fillId="0" borderId="63" xfId="5" applyNumberFormat="1" applyFont="1" applyFill="1" applyBorder="1" applyAlignment="1">
      <alignment horizontal="right" vertical="center" wrapText="1"/>
    </xf>
    <xf numFmtId="41" fontId="18" fillId="0" borderId="70" xfId="4" applyNumberFormat="1" applyFont="1" applyFill="1" applyBorder="1" applyAlignment="1">
      <alignment horizontal="right" vertical="center" wrapText="1"/>
    </xf>
    <xf numFmtId="41" fontId="18" fillId="0" borderId="70" xfId="5" applyNumberFormat="1" applyFont="1" applyFill="1" applyBorder="1" applyAlignment="1">
      <alignment horizontal="right" vertical="center" wrapText="1"/>
    </xf>
    <xf numFmtId="176" fontId="0" fillId="0" borderId="64" xfId="5" applyNumberFormat="1" applyFont="1" applyFill="1" applyBorder="1" applyAlignment="1">
      <alignment horizontal="left" vertical="center" wrapText="1"/>
    </xf>
    <xf numFmtId="41" fontId="0" fillId="0" borderId="73" xfId="4" applyNumberFormat="1" applyFont="1" applyFill="1" applyBorder="1" applyAlignment="1">
      <alignment horizontal="right" vertical="center" wrapText="1"/>
    </xf>
    <xf numFmtId="176" fontId="13" fillId="0" borderId="71" xfId="1" applyNumberFormat="1" applyFont="1" applyFill="1" applyBorder="1" applyAlignment="1">
      <alignment horizontal="right" vertical="center" wrapText="1"/>
    </xf>
    <xf numFmtId="177" fontId="18" fillId="0" borderId="70" xfId="5" applyNumberFormat="1" applyFont="1" applyFill="1" applyBorder="1" applyAlignment="1">
      <alignment horizontal="right" vertical="center" wrapText="1"/>
    </xf>
    <xf numFmtId="176" fontId="0" fillId="0" borderId="75" xfId="5" applyNumberFormat="1" applyFont="1" applyFill="1" applyBorder="1" applyAlignment="1">
      <alignment horizontal="left" vertical="center" wrapText="1"/>
    </xf>
    <xf numFmtId="176" fontId="0" fillId="0" borderId="73" xfId="11" applyNumberFormat="1" applyFont="1" applyFill="1" applyBorder="1" applyAlignment="1">
      <alignment horizontal="right" vertical="center" wrapText="1"/>
    </xf>
    <xf numFmtId="41" fontId="0" fillId="0" borderId="73" xfId="11" applyNumberFormat="1" applyFont="1" applyFill="1" applyBorder="1" applyAlignment="1">
      <alignment horizontal="right" vertical="center" wrapText="1"/>
    </xf>
    <xf numFmtId="176" fontId="0" fillId="0" borderId="63" xfId="11" applyNumberFormat="1" applyFont="1" applyFill="1" applyBorder="1" applyAlignment="1">
      <alignment horizontal="right" vertical="center" wrapText="1"/>
    </xf>
    <xf numFmtId="41" fontId="0" fillId="0" borderId="63" xfId="11" applyNumberFormat="1" applyFont="1" applyFill="1" applyBorder="1" applyAlignment="1">
      <alignment horizontal="right" vertical="center" wrapText="1"/>
    </xf>
    <xf numFmtId="41" fontId="18" fillId="0" borderId="63" xfId="5" applyNumberFormat="1" applyFont="1" applyFill="1" applyBorder="1" applyAlignment="1">
      <alignment horizontal="right" vertical="center" wrapText="1"/>
    </xf>
    <xf numFmtId="177" fontId="18" fillId="0" borderId="73" xfId="5" applyNumberFormat="1" applyFont="1" applyFill="1" applyBorder="1" applyAlignment="1">
      <alignment horizontal="right" vertical="center" wrapText="1"/>
    </xf>
    <xf numFmtId="176" fontId="18" fillId="0" borderId="63" xfId="1" applyNumberFormat="1" applyFont="1" applyFill="1" applyBorder="1" applyAlignment="1">
      <alignment horizontal="right" vertical="center" wrapText="1"/>
    </xf>
    <xf numFmtId="176" fontId="0" fillId="0" borderId="64" xfId="11" applyNumberFormat="1" applyFont="1" applyFill="1" applyBorder="1" applyAlignment="1">
      <alignment horizontal="left" vertical="center" wrapText="1"/>
    </xf>
    <xf numFmtId="0" fontId="0" fillId="0" borderId="2" xfId="11" applyNumberFormat="1" applyFont="1" applyFill="1" applyBorder="1" applyAlignment="1" applyProtection="1">
      <alignment horizontal="left" vertical="center" wrapText="1"/>
    </xf>
    <xf numFmtId="176" fontId="13" fillId="0" borderId="29" xfId="1" applyNumberFormat="1" applyFont="1" applyFill="1" applyBorder="1" applyAlignment="1">
      <alignment horizontal="left" vertical="center" wrapText="1"/>
    </xf>
    <xf numFmtId="176" fontId="0" fillId="0" borderId="27" xfId="11" applyNumberFormat="1" applyFont="1" applyFill="1" applyBorder="1" applyAlignment="1">
      <alignment horizontal="right" vertical="center" wrapText="1"/>
    </xf>
    <xf numFmtId="176" fontId="18" fillId="4" borderId="40" xfId="1" applyNumberFormat="1" applyFont="1" applyFill="1" applyBorder="1" applyAlignment="1">
      <alignment horizontal="right" vertical="center" wrapText="1"/>
    </xf>
    <xf numFmtId="176" fontId="18" fillId="0" borderId="40" xfId="1" applyNumberFormat="1" applyFont="1" applyFill="1" applyBorder="1" applyAlignment="1">
      <alignment horizontal="right" vertical="center" wrapText="1"/>
    </xf>
    <xf numFmtId="177" fontId="18" fillId="0" borderId="82" xfId="5" applyNumberFormat="1" applyFont="1" applyFill="1" applyBorder="1" applyAlignment="1">
      <alignment horizontal="right" vertical="center" wrapText="1"/>
    </xf>
    <xf numFmtId="176" fontId="0" fillId="0" borderId="28" xfId="11" applyNumberFormat="1" applyFont="1" applyFill="1" applyBorder="1" applyAlignment="1">
      <alignment horizontal="right" vertical="center" wrapText="1"/>
    </xf>
    <xf numFmtId="41" fontId="18" fillId="4" borderId="7" xfId="5" applyNumberFormat="1" applyFont="1" applyFill="1" applyBorder="1" applyAlignment="1">
      <alignment horizontal="right" vertical="center" wrapText="1"/>
    </xf>
    <xf numFmtId="177" fontId="18" fillId="4" borderId="82" xfId="5" applyNumberFormat="1" applyFont="1" applyFill="1" applyBorder="1" applyAlignment="1">
      <alignment horizontal="right" vertical="center" wrapText="1"/>
    </xf>
    <xf numFmtId="0" fontId="6" fillId="0" borderId="75" xfId="0" applyFont="1" applyBorder="1" applyAlignment="1">
      <alignment vertical="center" wrapText="1"/>
    </xf>
    <xf numFmtId="0" fontId="6" fillId="0" borderId="71" xfId="0" applyFont="1" applyBorder="1" applyAlignment="1">
      <alignment vertical="center" wrapText="1"/>
    </xf>
    <xf numFmtId="0" fontId="6" fillId="4" borderId="46" xfId="0" applyFont="1" applyFill="1" applyBorder="1">
      <alignment vertical="center"/>
    </xf>
    <xf numFmtId="176" fontId="0" fillId="3" borderId="1" xfId="4" applyNumberFormat="1" applyFont="1" applyFill="1" applyBorder="1" applyAlignment="1">
      <alignment horizontal="right" vertical="center" wrapText="1"/>
    </xf>
    <xf numFmtId="176" fontId="0" fillId="3" borderId="1" xfId="5" applyNumberFormat="1" applyFont="1" applyFill="1" applyBorder="1" applyAlignment="1">
      <alignment horizontal="right" vertical="center" wrapText="1"/>
    </xf>
    <xf numFmtId="177" fontId="0" fillId="3" borderId="1" xfId="5" applyNumberFormat="1" applyFont="1" applyFill="1" applyBorder="1" applyAlignment="1">
      <alignment horizontal="right" vertical="center" wrapText="1"/>
    </xf>
    <xf numFmtId="176" fontId="0" fillId="3" borderId="63" xfId="4" applyNumberFormat="1" applyFont="1" applyFill="1" applyBorder="1" applyAlignment="1">
      <alignment horizontal="right" vertical="center" wrapText="1"/>
    </xf>
    <xf numFmtId="176" fontId="0" fillId="3" borderId="63" xfId="5" applyNumberFormat="1" applyFont="1" applyFill="1" applyBorder="1" applyAlignment="1">
      <alignment horizontal="right" vertical="center" wrapText="1"/>
    </xf>
    <xf numFmtId="177" fontId="0" fillId="3" borderId="63" xfId="5" applyNumberFormat="1" applyFont="1" applyFill="1" applyBorder="1" applyAlignment="1">
      <alignment horizontal="right" vertical="center" wrapText="1"/>
    </xf>
    <xf numFmtId="41" fontId="0" fillId="3" borderId="63" xfId="4" applyNumberFormat="1" applyFont="1" applyFill="1" applyBorder="1" applyAlignment="1">
      <alignment horizontal="right" vertical="center" wrapText="1"/>
    </xf>
    <xf numFmtId="41" fontId="0" fillId="3" borderId="63" xfId="5" applyNumberFormat="1" applyFont="1" applyFill="1" applyBorder="1" applyAlignment="1">
      <alignment horizontal="right" vertical="center" wrapText="1"/>
    </xf>
    <xf numFmtId="177" fontId="18" fillId="3" borderId="84" xfId="5" applyNumberFormat="1" applyFont="1" applyFill="1" applyBorder="1" applyAlignment="1">
      <alignment horizontal="right" vertical="center" wrapText="1"/>
    </xf>
    <xf numFmtId="176" fontId="0" fillId="3" borderId="64" xfId="5" applyNumberFormat="1" applyFont="1" applyFill="1" applyBorder="1" applyAlignment="1">
      <alignment horizontal="right" vertical="center" wrapText="1"/>
    </xf>
    <xf numFmtId="176" fontId="0" fillId="3" borderId="64" xfId="5" applyNumberFormat="1" applyFont="1" applyFill="1" applyBorder="1" applyAlignment="1">
      <alignment horizontal="left" vertical="center" wrapText="1"/>
    </xf>
    <xf numFmtId="176" fontId="0" fillId="3" borderId="2" xfId="5" applyNumberFormat="1" applyFont="1" applyFill="1" applyBorder="1" applyAlignment="1">
      <alignment horizontal="left" vertical="center" wrapText="1"/>
    </xf>
    <xf numFmtId="176" fontId="18" fillId="3" borderId="64" xfId="5" applyNumberFormat="1" applyFont="1" applyFill="1" applyBorder="1" applyAlignment="1">
      <alignment horizontal="right" vertical="center" wrapText="1"/>
    </xf>
    <xf numFmtId="176" fontId="0" fillId="3" borderId="73" xfId="4" applyNumberFormat="1" applyFont="1" applyFill="1" applyBorder="1" applyAlignment="1">
      <alignment horizontal="right" vertical="center" wrapText="1"/>
    </xf>
    <xf numFmtId="176" fontId="0" fillId="0" borderId="63" xfId="4" applyNumberFormat="1" applyFont="1" applyFill="1" applyBorder="1" applyAlignment="1">
      <alignment horizontal="right" vertical="center" wrapText="1"/>
    </xf>
    <xf numFmtId="41" fontId="0" fillId="0" borderId="63" xfId="5" applyNumberFormat="1" applyFont="1" applyFill="1" applyBorder="1" applyAlignment="1">
      <alignment horizontal="right" vertical="center" wrapText="1"/>
    </xf>
    <xf numFmtId="41" fontId="0" fillId="3" borderId="1" xfId="5" applyNumberFormat="1" applyFont="1" applyFill="1" applyBorder="1" applyAlignment="1">
      <alignment horizontal="right" vertical="center" wrapText="1"/>
    </xf>
    <xf numFmtId="41" fontId="18" fillId="3" borderId="70" xfId="5" applyNumberFormat="1" applyFont="1" applyFill="1" applyBorder="1" applyAlignment="1">
      <alignment horizontal="right" vertical="center" wrapText="1"/>
    </xf>
    <xf numFmtId="176" fontId="0" fillId="0" borderId="1" xfId="4" applyNumberFormat="1" applyFont="1" applyFill="1" applyBorder="1" applyAlignment="1">
      <alignment horizontal="right" vertical="center" wrapText="1"/>
    </xf>
    <xf numFmtId="176" fontId="0" fillId="0" borderId="1" xfId="5" applyNumberFormat="1" applyFont="1" applyFill="1" applyBorder="1" applyAlignment="1">
      <alignment horizontal="right" vertical="center" wrapText="1"/>
    </xf>
    <xf numFmtId="176" fontId="0" fillId="0" borderId="73" xfId="4" applyNumberFormat="1" applyFont="1" applyFill="1" applyBorder="1" applyAlignment="1">
      <alignment horizontal="right" vertical="center" wrapText="1"/>
    </xf>
    <xf numFmtId="41" fontId="0" fillId="0" borderId="1" xfId="4" applyNumberFormat="1" applyFont="1" applyFill="1" applyBorder="1" applyAlignment="1">
      <alignment horizontal="right" vertical="center" wrapText="1"/>
    </xf>
    <xf numFmtId="41" fontId="0" fillId="0" borderId="1" xfId="5" applyNumberFormat="1" applyFont="1" applyFill="1" applyBorder="1" applyAlignment="1">
      <alignment horizontal="right" vertical="center" wrapText="1"/>
    </xf>
    <xf numFmtId="177" fontId="6" fillId="3" borderId="63" xfId="5" applyNumberFormat="1" applyFont="1" applyFill="1" applyBorder="1" applyAlignment="1">
      <alignment horizontal="right" vertical="center" wrapText="1"/>
    </xf>
    <xf numFmtId="177" fontId="0" fillId="3" borderId="73" xfId="5" applyNumberFormat="1" applyFont="1" applyFill="1" applyBorder="1" applyAlignment="1">
      <alignment horizontal="right" vertical="center" wrapText="1"/>
    </xf>
    <xf numFmtId="176" fontId="6" fillId="0" borderId="7" xfId="4" applyNumberFormat="1" applyFont="1" applyFill="1" applyBorder="1" applyAlignment="1">
      <alignment horizontal="right" vertical="center" wrapText="1"/>
    </xf>
    <xf numFmtId="176" fontId="6" fillId="0" borderId="70" xfId="5" applyNumberFormat="1" applyFont="1" applyFill="1" applyBorder="1" applyAlignment="1">
      <alignment horizontal="right" vertical="center" wrapText="1"/>
    </xf>
    <xf numFmtId="176" fontId="6" fillId="3" borderId="70" xfId="5" applyNumberFormat="1" applyFont="1" applyFill="1" applyBorder="1" applyAlignment="1">
      <alignment horizontal="right" vertical="center" wrapText="1"/>
    </xf>
    <xf numFmtId="177" fontId="6" fillId="3" borderId="73" xfId="5" applyNumberFormat="1" applyFont="1" applyFill="1" applyBorder="1" applyAlignment="1">
      <alignment horizontal="right" vertical="center" wrapText="1"/>
    </xf>
    <xf numFmtId="41" fontId="0" fillId="3" borderId="1" xfId="4" applyNumberFormat="1" applyFont="1" applyFill="1" applyBorder="1" applyAlignment="1">
      <alignment horizontal="right" vertical="center" wrapText="1"/>
    </xf>
    <xf numFmtId="176" fontId="18" fillId="3" borderId="73" xfId="4" applyNumberFormat="1" applyFont="1" applyFill="1" applyBorder="1" applyAlignment="1">
      <alignment horizontal="right" vertical="center" wrapText="1"/>
    </xf>
    <xf numFmtId="176" fontId="18" fillId="3" borderId="73" xfId="5" applyNumberFormat="1" applyFont="1" applyFill="1" applyBorder="1" applyAlignment="1">
      <alignment horizontal="right" vertical="center" wrapText="1"/>
    </xf>
    <xf numFmtId="177" fontId="13" fillId="3" borderId="59" xfId="5" applyNumberFormat="1" applyFont="1" applyFill="1" applyBorder="1" applyAlignment="1">
      <alignment horizontal="right" vertical="center" wrapText="1"/>
    </xf>
    <xf numFmtId="176" fontId="13" fillId="3" borderId="75" xfId="5" applyNumberFormat="1" applyFont="1" applyFill="1" applyBorder="1" applyAlignment="1">
      <alignment horizontal="right" vertical="center" wrapText="1"/>
    </xf>
    <xf numFmtId="41" fontId="18" fillId="2" borderId="7" xfId="4" applyNumberFormat="1" applyFont="1" applyFill="1" applyBorder="1" applyAlignment="1">
      <alignment horizontal="right" vertical="center" wrapText="1"/>
    </xf>
    <xf numFmtId="176" fontId="18" fillId="4" borderId="79" xfId="5" applyNumberFormat="1" applyFont="1" applyFill="1" applyBorder="1" applyAlignment="1">
      <alignment horizontal="right" vertical="center" wrapText="1"/>
    </xf>
    <xf numFmtId="177" fontId="18" fillId="4" borderId="89" xfId="5" applyNumberFormat="1" applyFont="1" applyFill="1" applyBorder="1" applyAlignment="1">
      <alignment horizontal="right" vertical="center" wrapText="1"/>
    </xf>
    <xf numFmtId="41" fontId="13" fillId="2" borderId="7" xfId="4" applyNumberFormat="1" applyFont="1" applyFill="1" applyBorder="1" applyAlignment="1">
      <alignment horizontal="right" vertical="center" wrapText="1"/>
    </xf>
    <xf numFmtId="41" fontId="13" fillId="3" borderId="70" xfId="5" applyNumberFormat="1" applyFont="1" applyFill="1" applyBorder="1" applyAlignment="1">
      <alignment horizontal="right" vertical="center" wrapText="1"/>
    </xf>
    <xf numFmtId="41" fontId="13" fillId="3" borderId="73" xfId="4" applyNumberFormat="1" applyFont="1" applyFill="1" applyBorder="1" applyAlignment="1">
      <alignment horizontal="right" vertical="center" wrapText="1"/>
    </xf>
    <xf numFmtId="41" fontId="13" fillId="3" borderId="73" xfId="5" applyNumberFormat="1" applyFont="1" applyFill="1" applyBorder="1" applyAlignment="1">
      <alignment horizontal="right" vertical="center" wrapText="1"/>
    </xf>
    <xf numFmtId="177" fontId="18" fillId="4" borderId="79" xfId="5" applyNumberFormat="1" applyFont="1" applyFill="1" applyBorder="1" applyAlignment="1">
      <alignment horizontal="right" vertical="center" wrapText="1"/>
    </xf>
    <xf numFmtId="41" fontId="17" fillId="0" borderId="73" xfId="0" applyNumberFormat="1" applyFont="1" applyBorder="1">
      <alignment vertical="center"/>
    </xf>
    <xf numFmtId="177" fontId="17" fillId="0" borderId="73" xfId="0" applyNumberFormat="1" applyFont="1" applyBorder="1" applyAlignment="1">
      <alignment horizontal="right" vertical="center"/>
    </xf>
    <xf numFmtId="41" fontId="7" fillId="2" borderId="163" xfId="0" applyNumberFormat="1" applyFont="1" applyFill="1" applyBorder="1" applyAlignment="1">
      <alignment horizontal="right" vertical="center"/>
    </xf>
    <xf numFmtId="176" fontId="6" fillId="2" borderId="140" xfId="0" applyNumberFormat="1" applyFont="1" applyFill="1" applyBorder="1" applyAlignment="1">
      <alignment horizontal="right" vertical="center"/>
    </xf>
    <xf numFmtId="41" fontId="29" fillId="2" borderId="104" xfId="1" applyFont="1" applyFill="1" applyBorder="1" applyAlignment="1">
      <alignment horizontal="center" vertical="center" wrapText="1"/>
    </xf>
    <xf numFmtId="41" fontId="32" fillId="2" borderId="140" xfId="1" applyFont="1" applyFill="1" applyBorder="1" applyAlignment="1">
      <alignment horizontal="center" vertical="center" wrapText="1"/>
    </xf>
    <xf numFmtId="176" fontId="6" fillId="4" borderId="41" xfId="0" applyNumberFormat="1" applyFont="1" applyFill="1" applyBorder="1" applyAlignment="1">
      <alignment horizontal="right" vertical="center"/>
    </xf>
    <xf numFmtId="41" fontId="7" fillId="2" borderId="123" xfId="0" applyNumberFormat="1" applyFont="1" applyFill="1" applyBorder="1" applyAlignment="1">
      <alignment horizontal="right" vertical="center"/>
    </xf>
    <xf numFmtId="177" fontId="6" fillId="2" borderId="154" xfId="0" applyNumberFormat="1" applyFont="1" applyFill="1" applyBorder="1" applyAlignment="1">
      <alignment vertical="center"/>
    </xf>
    <xf numFmtId="41" fontId="44" fillId="2" borderId="73" xfId="1" applyFont="1" applyFill="1" applyBorder="1" applyAlignment="1">
      <alignment horizontal="center" vertical="center" wrapText="1"/>
    </xf>
    <xf numFmtId="41" fontId="44" fillId="2" borderId="70" xfId="1" applyFont="1" applyFill="1" applyBorder="1" applyAlignment="1">
      <alignment horizontal="center" vertical="center" wrapText="1"/>
    </xf>
    <xf numFmtId="41" fontId="7" fillId="2" borderId="137" xfId="0" applyNumberFormat="1" applyFont="1" applyFill="1" applyBorder="1" applyAlignment="1">
      <alignment horizontal="right" vertical="center"/>
    </xf>
    <xf numFmtId="177" fontId="43" fillId="2" borderId="122" xfId="1" applyNumberFormat="1" applyFont="1" applyFill="1" applyBorder="1" applyAlignment="1">
      <alignment horizontal="right" vertical="center" wrapText="1"/>
    </xf>
    <xf numFmtId="41" fontId="12" fillId="12" borderId="94" xfId="0" applyNumberFormat="1" applyFont="1" applyFill="1" applyBorder="1" applyAlignment="1" applyProtection="1">
      <alignment vertical="center" wrapText="1"/>
    </xf>
    <xf numFmtId="177" fontId="44" fillId="4" borderId="164" xfId="1" applyNumberFormat="1" applyFont="1" applyFill="1" applyBorder="1" applyAlignment="1">
      <alignment horizontal="right" vertical="center" wrapText="1"/>
    </xf>
    <xf numFmtId="41" fontId="43" fillId="2" borderId="163" xfId="1" applyFont="1" applyFill="1" applyBorder="1" applyAlignment="1">
      <alignment horizontal="center" vertical="center" wrapText="1"/>
    </xf>
    <xf numFmtId="0" fontId="7" fillId="2" borderId="157" xfId="0" applyFont="1" applyFill="1" applyBorder="1" applyAlignment="1">
      <alignment vertical="top" wrapText="1"/>
    </xf>
    <xf numFmtId="177" fontId="7" fillId="2" borderId="36" xfId="0" applyNumberFormat="1" applyFont="1" applyFill="1" applyBorder="1" applyAlignment="1">
      <alignment horizontal="right" vertical="center"/>
    </xf>
    <xf numFmtId="176" fontId="7" fillId="2" borderId="166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vertical="top" wrapText="1"/>
    </xf>
    <xf numFmtId="41" fontId="7" fillId="2" borderId="167" xfId="0" applyNumberFormat="1" applyFont="1" applyFill="1" applyBorder="1" applyAlignment="1">
      <alignment horizontal="right" vertical="center"/>
    </xf>
    <xf numFmtId="176" fontId="7" fillId="2" borderId="71" xfId="0" applyNumberFormat="1" applyFont="1" applyFill="1" applyBorder="1" applyAlignment="1">
      <alignment horizontal="left" vertical="center"/>
    </xf>
    <xf numFmtId="176" fontId="7" fillId="2" borderId="64" xfId="0" applyNumberFormat="1" applyFont="1" applyFill="1" applyBorder="1" applyAlignment="1">
      <alignment horizontal="left" vertical="center" wrapText="1" shrinkToFit="1"/>
    </xf>
    <xf numFmtId="176" fontId="7" fillId="2" borderId="29" xfId="0" applyNumberFormat="1" applyFont="1" applyFill="1" applyBorder="1" applyAlignment="1">
      <alignment horizontal="left" vertical="center" wrapText="1" shrinkToFit="1"/>
    </xf>
    <xf numFmtId="0" fontId="1" fillId="2" borderId="168" xfId="0" applyFont="1" applyFill="1" applyBorder="1">
      <alignment vertical="center"/>
    </xf>
    <xf numFmtId="177" fontId="24" fillId="2" borderId="76" xfId="5" applyNumberFormat="1" applyFont="1" applyFill="1" applyBorder="1" applyAlignment="1">
      <alignment horizontal="right" vertical="center" wrapText="1"/>
    </xf>
    <xf numFmtId="41" fontId="6" fillId="2" borderId="7" xfId="5" applyNumberFormat="1" applyFont="1" applyFill="1" applyBorder="1" applyAlignment="1">
      <alignment horizontal="right" vertical="center" wrapText="1"/>
    </xf>
    <xf numFmtId="176" fontId="44" fillId="2" borderId="140" xfId="1" applyNumberFormat="1" applyFont="1" applyFill="1" applyBorder="1" applyAlignment="1">
      <alignment vertical="center" wrapText="1"/>
    </xf>
    <xf numFmtId="176" fontId="6" fillId="2" borderId="40" xfId="0" applyNumberFormat="1" applyFont="1" applyFill="1" applyBorder="1" applyAlignment="1">
      <alignment horizontal="right" vertical="center"/>
    </xf>
    <xf numFmtId="176" fontId="7" fillId="2" borderId="134" xfId="0" applyNumberFormat="1" applyFont="1" applyFill="1" applyBorder="1" applyAlignment="1">
      <alignment horizontal="right" vertical="center"/>
    </xf>
    <xf numFmtId="176" fontId="6" fillId="2" borderId="50" xfId="0" applyNumberFormat="1" applyFont="1" applyFill="1" applyBorder="1" applyAlignment="1">
      <alignment horizontal="right" vertical="center"/>
    </xf>
    <xf numFmtId="41" fontId="44" fillId="2" borderId="70" xfId="1" applyNumberFormat="1" applyFont="1" applyFill="1" applyBorder="1" applyAlignment="1">
      <alignment horizontal="right" vertical="center" wrapText="1"/>
    </xf>
    <xf numFmtId="41" fontId="6" fillId="2" borderId="123" xfId="0" applyNumberFormat="1" applyFont="1" applyFill="1" applyBorder="1" applyAlignment="1">
      <alignment horizontal="right" vertical="center"/>
    </xf>
    <xf numFmtId="176" fontId="7" fillId="2" borderId="137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top" wrapText="1"/>
    </xf>
    <xf numFmtId="176" fontId="7" fillId="2" borderId="8" xfId="0" applyNumberFormat="1" applyFont="1" applyFill="1" applyBorder="1" applyAlignment="1">
      <alignment horizontal="right" vertical="center"/>
    </xf>
    <xf numFmtId="176" fontId="12" fillId="2" borderId="1" xfId="0" applyNumberFormat="1" applyFont="1" applyFill="1" applyBorder="1" applyAlignment="1">
      <alignment horizontal="right" vertical="center" wrapText="1"/>
    </xf>
    <xf numFmtId="176" fontId="12" fillId="2" borderId="63" xfId="0" applyNumberFormat="1" applyFont="1" applyFill="1" applyBorder="1" applyAlignment="1">
      <alignment horizontal="right" vertical="center" wrapText="1"/>
    </xf>
    <xf numFmtId="41" fontId="17" fillId="2" borderId="79" xfId="0" applyNumberFormat="1" applyFont="1" applyFill="1" applyBorder="1">
      <alignment vertical="center"/>
    </xf>
    <xf numFmtId="176" fontId="17" fillId="2" borderId="79" xfId="0" applyNumberFormat="1" applyFont="1" applyFill="1" applyBorder="1">
      <alignment vertical="center"/>
    </xf>
    <xf numFmtId="3" fontId="17" fillId="2" borderId="79" xfId="0" applyNumberFormat="1" applyFont="1" applyFill="1" applyBorder="1">
      <alignment vertical="center"/>
    </xf>
    <xf numFmtId="41" fontId="17" fillId="0" borderId="79" xfId="0" applyNumberFormat="1" applyFont="1" applyBorder="1">
      <alignment vertical="center"/>
    </xf>
    <xf numFmtId="177" fontId="17" fillId="2" borderId="79" xfId="0" applyNumberFormat="1" applyFont="1" applyFill="1" applyBorder="1" applyAlignment="1">
      <alignment horizontal="right" vertical="center"/>
    </xf>
    <xf numFmtId="0" fontId="6" fillId="2" borderId="70" xfId="0" applyFont="1" applyFill="1" applyBorder="1" applyAlignment="1">
      <alignment horizontal="center" vertical="top" wrapText="1"/>
    </xf>
    <xf numFmtId="0" fontId="6" fillId="2" borderId="5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1" fontId="7" fillId="2" borderId="8" xfId="0" applyNumberFormat="1" applyFont="1" applyFill="1" applyBorder="1" applyAlignment="1">
      <alignment horizontal="right" vertical="center"/>
    </xf>
    <xf numFmtId="41" fontId="7" fillId="2" borderId="83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/>
    </xf>
    <xf numFmtId="41" fontId="7" fillId="2" borderId="13" xfId="0" applyNumberFormat="1" applyFont="1" applyFill="1" applyBorder="1" applyAlignment="1">
      <alignment horizontal="right" vertical="center"/>
    </xf>
    <xf numFmtId="41" fontId="43" fillId="2" borderId="73" xfId="1" applyNumberFormat="1" applyFont="1" applyFill="1" applyBorder="1" applyAlignment="1">
      <alignment horizontal="right" vertical="center" wrapText="1"/>
    </xf>
    <xf numFmtId="41" fontId="6" fillId="2" borderId="165" xfId="0" applyNumberFormat="1" applyFont="1" applyFill="1" applyBorder="1" applyAlignment="1">
      <alignment horizontal="right" vertical="center"/>
    </xf>
    <xf numFmtId="41" fontId="6" fillId="2" borderId="151" xfId="0" applyNumberFormat="1" applyFont="1" applyFill="1" applyBorder="1" applyAlignment="1">
      <alignment horizontal="right" vertical="center"/>
    </xf>
    <xf numFmtId="41" fontId="7" fillId="2" borderId="169" xfId="0" applyNumberFormat="1" applyFont="1" applyFill="1" applyBorder="1" applyAlignment="1">
      <alignment horizontal="right" vertical="center"/>
    </xf>
    <xf numFmtId="41" fontId="7" fillId="2" borderId="160" xfId="0" applyNumberFormat="1" applyFont="1" applyFill="1" applyBorder="1" applyAlignment="1">
      <alignment horizontal="right" vertical="center"/>
    </xf>
    <xf numFmtId="41" fontId="6" fillId="2" borderId="160" xfId="0" applyNumberFormat="1" applyFont="1" applyFill="1" applyBorder="1" applyAlignment="1">
      <alignment horizontal="right" vertical="center"/>
    </xf>
    <xf numFmtId="41" fontId="6" fillId="4" borderId="148" xfId="0" applyNumberFormat="1" applyFont="1" applyFill="1" applyBorder="1" applyAlignment="1">
      <alignment horizontal="right" vertical="center"/>
    </xf>
    <xf numFmtId="41" fontId="7" fillId="2" borderId="35" xfId="0" applyNumberFormat="1" applyFont="1" applyFill="1" applyBorder="1" applyAlignment="1">
      <alignment horizontal="right" vertical="center"/>
    </xf>
    <xf numFmtId="41" fontId="7" fillId="2" borderId="104" xfId="0" applyNumberFormat="1" applyFont="1" applyFill="1" applyBorder="1" applyAlignment="1">
      <alignment horizontal="right" vertical="center"/>
    </xf>
    <xf numFmtId="41" fontId="7" fillId="2" borderId="170" xfId="0" applyNumberFormat="1" applyFont="1" applyFill="1" applyBorder="1" applyAlignment="1">
      <alignment horizontal="right" vertical="center"/>
    </xf>
    <xf numFmtId="41" fontId="7" fillId="2" borderId="140" xfId="0" applyNumberFormat="1" applyFont="1" applyFill="1" applyBorder="1" applyAlignment="1">
      <alignment horizontal="right" vertical="center"/>
    </xf>
    <xf numFmtId="0" fontId="6" fillId="2" borderId="70" xfId="0" applyFont="1" applyFill="1" applyBorder="1" applyAlignment="1">
      <alignment horizontal="center" vertical="top"/>
    </xf>
    <xf numFmtId="41" fontId="6" fillId="2" borderId="164" xfId="0" applyNumberFormat="1" applyFont="1" applyFill="1" applyBorder="1" applyAlignment="1">
      <alignment horizontal="right" vertical="center"/>
    </xf>
    <xf numFmtId="9" fontId="7" fillId="2" borderId="36" xfId="0" applyNumberFormat="1" applyFont="1" applyFill="1" applyBorder="1" applyAlignment="1">
      <alignment horizontal="right" vertical="center"/>
    </xf>
    <xf numFmtId="41" fontId="7" fillId="2" borderId="48" xfId="0" applyNumberFormat="1" applyFont="1" applyFill="1" applyBorder="1" applyAlignment="1">
      <alignment horizontal="right" vertical="center"/>
    </xf>
    <xf numFmtId="177" fontId="7" fillId="2" borderId="27" xfId="0" applyNumberFormat="1" applyFont="1" applyFill="1" applyBorder="1" applyAlignment="1">
      <alignment horizontal="right" vertical="center"/>
    </xf>
    <xf numFmtId="177" fontId="7" fillId="2" borderId="171" xfId="0" applyNumberFormat="1" applyFont="1" applyFill="1" applyBorder="1" applyAlignment="1">
      <alignment horizontal="right" vertical="center"/>
    </xf>
    <xf numFmtId="177" fontId="6" fillId="2" borderId="40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 wrapText="1"/>
    </xf>
    <xf numFmtId="0" fontId="7" fillId="2" borderId="6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80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/>
    </xf>
    <xf numFmtId="176" fontId="18" fillId="0" borderId="70" xfId="4" applyNumberFormat="1" applyFont="1" applyFill="1" applyBorder="1" applyAlignment="1">
      <alignment horizontal="center" vertical="top" wrapText="1"/>
    </xf>
    <xf numFmtId="41" fontId="43" fillId="2" borderId="70" xfId="1" applyNumberFormat="1" applyFont="1" applyFill="1" applyBorder="1" applyAlignment="1">
      <alignment horizontal="right" vertical="center" wrapText="1"/>
    </xf>
    <xf numFmtId="41" fontId="44" fillId="2" borderId="140" xfId="1" applyNumberFormat="1" applyFont="1" applyFill="1" applyBorder="1" applyAlignment="1">
      <alignment horizontal="right" vertical="center" wrapText="1"/>
    </xf>
    <xf numFmtId="41" fontId="43" fillId="2" borderId="104" xfId="1" applyNumberFormat="1" applyFont="1" applyFill="1" applyBorder="1" applyAlignment="1">
      <alignment horizontal="right" vertical="center" wrapText="1"/>
    </xf>
    <xf numFmtId="41" fontId="43" fillId="2" borderId="70" xfId="1" applyFont="1" applyFill="1" applyBorder="1" applyAlignment="1">
      <alignment horizontal="center" vertical="center" wrapText="1"/>
    </xf>
    <xf numFmtId="41" fontId="43" fillId="2" borderId="10" xfId="1" applyFont="1" applyFill="1" applyBorder="1" applyAlignment="1">
      <alignment horizontal="center" vertical="center" wrapText="1"/>
    </xf>
    <xf numFmtId="41" fontId="43" fillId="2" borderId="65" xfId="1" applyFont="1" applyFill="1" applyBorder="1" applyAlignment="1">
      <alignment horizontal="center" vertical="center" wrapText="1"/>
    </xf>
    <xf numFmtId="177" fontId="7" fillId="2" borderId="36" xfId="0" applyNumberFormat="1" applyFont="1" applyFill="1" applyBorder="1" applyAlignment="1">
      <alignment vertical="center"/>
    </xf>
    <xf numFmtId="41" fontId="6" fillId="2" borderId="35" xfId="0" applyNumberFormat="1" applyFont="1" applyFill="1" applyBorder="1" applyAlignment="1">
      <alignment horizontal="right" vertical="center"/>
    </xf>
    <xf numFmtId="41" fontId="6" fillId="2" borderId="101" xfId="0" applyNumberFormat="1" applyFont="1" applyFill="1" applyBorder="1" applyAlignment="1">
      <alignment horizontal="right" vertical="center"/>
    </xf>
    <xf numFmtId="177" fontId="7" fillId="2" borderId="172" xfId="0" applyNumberFormat="1" applyFont="1" applyFill="1" applyBorder="1" applyAlignment="1">
      <alignment vertical="center"/>
    </xf>
    <xf numFmtId="41" fontId="7" fillId="4" borderId="85" xfId="0" applyNumberFormat="1" applyFont="1" applyFill="1" applyBorder="1" applyAlignment="1">
      <alignment horizontal="right" vertical="center"/>
    </xf>
    <xf numFmtId="41" fontId="43" fillId="2" borderId="63" xfId="1" applyNumberFormat="1" applyFont="1" applyFill="1" applyBorder="1" applyAlignment="1">
      <alignment horizontal="center" vertical="center" wrapText="1"/>
    </xf>
    <xf numFmtId="41" fontId="7" fillId="2" borderId="166" xfId="0" applyNumberFormat="1" applyFont="1" applyFill="1" applyBorder="1" applyAlignment="1">
      <alignment horizontal="right" vertical="center"/>
    </xf>
    <xf numFmtId="41" fontId="7" fillId="2" borderId="6" xfId="0" applyNumberFormat="1" applyFont="1" applyFill="1" applyBorder="1" applyAlignment="1">
      <alignment horizontal="right" vertical="center"/>
    </xf>
    <xf numFmtId="41" fontId="6" fillId="2" borderId="73" xfId="0" applyNumberFormat="1" applyFont="1" applyFill="1" applyBorder="1" applyAlignment="1">
      <alignment horizontal="right" vertical="center"/>
    </xf>
    <xf numFmtId="176" fontId="18" fillId="0" borderId="63" xfId="4" applyNumberFormat="1" applyFont="1" applyFill="1" applyBorder="1" applyAlignment="1">
      <alignment horizontal="center" vertical="top" wrapText="1"/>
    </xf>
    <xf numFmtId="176" fontId="7" fillId="2" borderId="75" xfId="0" applyNumberFormat="1" applyFont="1" applyFill="1" applyBorder="1" applyAlignment="1">
      <alignment horizontal="left" vertical="center" wrapText="1" shrinkToFit="1"/>
    </xf>
    <xf numFmtId="176" fontId="43" fillId="2" borderId="63" xfId="1" applyNumberFormat="1" applyFont="1" applyFill="1" applyBorder="1" applyAlignment="1">
      <alignment horizontal="right" vertical="center" wrapText="1"/>
    </xf>
    <xf numFmtId="41" fontId="43" fillId="2" borderId="63" xfId="1" applyFont="1" applyFill="1" applyBorder="1" applyAlignment="1">
      <alignment horizontal="left" vertical="center" wrapText="1"/>
    </xf>
    <xf numFmtId="177" fontId="43" fillId="2" borderId="63" xfId="1" applyNumberFormat="1" applyFont="1" applyFill="1" applyBorder="1" applyAlignment="1">
      <alignment vertical="center" wrapText="1"/>
    </xf>
    <xf numFmtId="177" fontId="44" fillId="2" borderId="104" xfId="1" applyNumberFormat="1" applyFont="1" applyFill="1" applyBorder="1" applyAlignment="1">
      <alignment vertical="center" wrapText="1"/>
    </xf>
    <xf numFmtId="177" fontId="16" fillId="2" borderId="64" xfId="1" applyNumberFormat="1" applyFont="1" applyFill="1" applyBorder="1" applyAlignment="1">
      <alignment horizontal="left" vertical="center" wrapText="1"/>
    </xf>
    <xf numFmtId="176" fontId="7" fillId="2" borderId="75" xfId="0" applyNumberFormat="1" applyFont="1" applyFill="1" applyBorder="1" applyAlignment="1">
      <alignment horizontal="left" vertical="center" wrapText="1"/>
    </xf>
    <xf numFmtId="0" fontId="7" fillId="2" borderId="138" xfId="0" applyFont="1" applyFill="1" applyBorder="1" applyAlignment="1">
      <alignment horizontal="left" vertical="top" wrapText="1"/>
    </xf>
    <xf numFmtId="177" fontId="6" fillId="3" borderId="70" xfId="5" applyNumberFormat="1" applyFont="1" applyFill="1" applyBorder="1" applyAlignment="1">
      <alignment horizontal="right" vertical="center" wrapText="1"/>
    </xf>
    <xf numFmtId="176" fontId="7" fillId="2" borderId="44" xfId="0" applyNumberFormat="1" applyFont="1" applyFill="1" applyBorder="1" applyAlignment="1">
      <alignment horizontal="left" vertical="center" wrapText="1" shrinkToFit="1"/>
    </xf>
    <xf numFmtId="176" fontId="7" fillId="2" borderId="42" xfId="0" applyNumberFormat="1" applyFont="1" applyFill="1" applyBorder="1" applyAlignment="1">
      <alignment horizontal="center" vertical="center" shrinkToFit="1"/>
    </xf>
    <xf numFmtId="176" fontId="7" fillId="2" borderId="29" xfId="0" applyNumberFormat="1" applyFont="1" applyFill="1" applyBorder="1" applyAlignment="1">
      <alignment vertical="center" wrapText="1"/>
    </xf>
    <xf numFmtId="41" fontId="7" fillId="2" borderId="89" xfId="0" applyNumberFormat="1" applyFont="1" applyFill="1" applyBorder="1" applyAlignment="1">
      <alignment horizontal="right" vertical="center"/>
    </xf>
    <xf numFmtId="41" fontId="7" fillId="2" borderId="104" xfId="5" applyNumberFormat="1" applyFont="1" applyFill="1" applyBorder="1" applyAlignment="1">
      <alignment horizontal="right" vertical="center" wrapText="1"/>
    </xf>
    <xf numFmtId="41" fontId="7" fillId="2" borderId="35" xfId="5" applyNumberFormat="1" applyFont="1" applyFill="1" applyBorder="1" applyAlignment="1">
      <alignment horizontal="right" vertical="center" wrapText="1"/>
    </xf>
    <xf numFmtId="41" fontId="7" fillId="2" borderId="133" xfId="5" applyNumberFormat="1" applyFont="1" applyFill="1" applyBorder="1" applyAlignment="1">
      <alignment horizontal="right" vertical="center" wrapText="1"/>
    </xf>
    <xf numFmtId="41" fontId="7" fillId="2" borderId="70" xfId="5" applyNumberFormat="1" applyFont="1" applyFill="1" applyBorder="1" applyAlignment="1">
      <alignment horizontal="right" vertical="center" wrapText="1"/>
    </xf>
    <xf numFmtId="41" fontId="7" fillId="2" borderId="173" xfId="5" applyNumberFormat="1" applyFont="1" applyFill="1" applyBorder="1" applyAlignment="1">
      <alignment horizontal="right" vertical="center" wrapText="1"/>
    </xf>
    <xf numFmtId="177" fontId="7" fillId="2" borderId="147" xfId="5" applyNumberFormat="1" applyFont="1" applyFill="1" applyBorder="1" applyAlignment="1">
      <alignment horizontal="right" vertical="center" wrapText="1"/>
    </xf>
    <xf numFmtId="177" fontId="7" fillId="2" borderId="119" xfId="5" applyNumberFormat="1" applyFont="1" applyFill="1" applyBorder="1" applyAlignment="1">
      <alignment horizontal="right" vertical="center" wrapText="1"/>
    </xf>
    <xf numFmtId="178" fontId="13" fillId="2" borderId="63" xfId="1" applyNumberFormat="1" applyFont="1" applyFill="1" applyBorder="1" applyAlignment="1">
      <alignment vertical="center" wrapText="1"/>
    </xf>
    <xf numFmtId="41" fontId="13" fillId="2" borderId="63" xfId="1" applyNumberFormat="1" applyFont="1" applyFill="1" applyBorder="1" applyAlignment="1">
      <alignment vertical="center" wrapText="1"/>
    </xf>
    <xf numFmtId="178" fontId="13" fillId="0" borderId="141" xfId="1" applyNumberFormat="1" applyFont="1" applyFill="1" applyBorder="1" applyAlignment="1">
      <alignment vertical="center" wrapText="1"/>
    </xf>
    <xf numFmtId="178" fontId="13" fillId="2" borderId="60" xfId="1" applyNumberFormat="1" applyFont="1" applyFill="1" applyBorder="1" applyAlignment="1">
      <alignment vertical="center" wrapText="1"/>
    </xf>
    <xf numFmtId="178" fontId="13" fillId="2" borderId="8" xfId="1" applyNumberFormat="1" applyFont="1" applyFill="1" applyBorder="1" applyAlignment="1">
      <alignment vertical="center" wrapText="1"/>
    </xf>
    <xf numFmtId="41" fontId="24" fillId="2" borderId="70" xfId="5" applyNumberFormat="1" applyFont="1" applyFill="1" applyBorder="1" applyAlignment="1">
      <alignment horizontal="right" vertical="top" wrapText="1"/>
    </xf>
    <xf numFmtId="41" fontId="23" fillId="8" borderId="20" xfId="4" applyNumberFormat="1" applyFont="1" applyFill="1" applyBorder="1" applyAlignment="1">
      <alignment vertical="center" wrapText="1"/>
    </xf>
    <xf numFmtId="41" fontId="23" fillId="2" borderId="76" xfId="4" applyNumberFormat="1" applyFont="1" applyFill="1" applyBorder="1" applyAlignment="1">
      <alignment horizontal="right" vertical="top" wrapText="1"/>
    </xf>
    <xf numFmtId="41" fontId="23" fillId="2" borderId="23" xfId="5" applyNumberFormat="1" applyFont="1" applyFill="1" applyBorder="1" applyAlignment="1">
      <alignment horizontal="right" vertical="top" wrapText="1"/>
    </xf>
    <xf numFmtId="176" fontId="16" fillId="10" borderId="3" xfId="0" applyNumberFormat="1" applyFont="1" applyFill="1" applyBorder="1" applyAlignment="1">
      <alignment vertical="top"/>
    </xf>
    <xf numFmtId="177" fontId="24" fillId="2" borderId="83" xfId="5" applyNumberFormat="1" applyFont="1" applyFill="1" applyBorder="1" applyAlignment="1">
      <alignment horizontal="right" vertical="top" wrapText="1"/>
    </xf>
    <xf numFmtId="0" fontId="12" fillId="10" borderId="117" xfId="0" applyFont="1" applyFill="1" applyBorder="1" applyAlignment="1">
      <alignment vertical="top" wrapText="1"/>
    </xf>
    <xf numFmtId="41" fontId="24" fillId="2" borderId="7" xfId="5" applyNumberFormat="1" applyFont="1" applyFill="1" applyBorder="1" applyAlignment="1">
      <alignment horizontal="right" vertical="top" wrapText="1"/>
    </xf>
    <xf numFmtId="177" fontId="23" fillId="2" borderId="76" xfId="5" applyNumberFormat="1" applyFont="1" applyFill="1" applyBorder="1" applyAlignment="1">
      <alignment horizontal="right" vertical="top" wrapText="1"/>
    </xf>
    <xf numFmtId="177" fontId="23" fillId="2" borderId="76" xfId="5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 wrapText="1"/>
    </xf>
    <xf numFmtId="0" fontId="6" fillId="2" borderId="69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74" xfId="0" applyFont="1" applyFill="1" applyBorder="1" applyAlignment="1">
      <alignment horizontal="left" vertical="top" wrapText="1"/>
    </xf>
    <xf numFmtId="176" fontId="18" fillId="2" borderId="52" xfId="4" applyNumberFormat="1" applyFont="1" applyFill="1" applyBorder="1" applyAlignment="1">
      <alignment horizontal="center" vertical="top" wrapText="1"/>
    </xf>
    <xf numFmtId="0" fontId="13" fillId="3" borderId="73" xfId="14" applyFont="1" applyFill="1" applyBorder="1" applyAlignment="1">
      <alignment vertical="center" wrapText="1"/>
    </xf>
    <xf numFmtId="41" fontId="7" fillId="2" borderId="73" xfId="1" applyFont="1" applyFill="1" applyBorder="1" applyAlignment="1">
      <alignment horizontal="right" vertical="center"/>
    </xf>
    <xf numFmtId="41" fontId="7" fillId="2" borderId="59" xfId="1" applyFont="1" applyFill="1" applyBorder="1" applyAlignment="1">
      <alignment horizontal="right" vertical="center"/>
    </xf>
    <xf numFmtId="177" fontId="7" fillId="2" borderId="59" xfId="1" applyNumberFormat="1" applyFont="1" applyFill="1" applyBorder="1" applyAlignment="1">
      <alignment horizontal="right" vertical="center"/>
    </xf>
    <xf numFmtId="0" fontId="7" fillId="0" borderId="75" xfId="0" applyFont="1" applyBorder="1" applyAlignment="1">
      <alignment vertical="center" wrapText="1"/>
    </xf>
    <xf numFmtId="0" fontId="13" fillId="3" borderId="63" xfId="14" applyFont="1" applyFill="1" applyBorder="1" applyAlignment="1">
      <alignment vertical="center" wrapText="1"/>
    </xf>
    <xf numFmtId="41" fontId="6" fillId="2" borderId="70" xfId="1" applyFont="1" applyFill="1" applyBorder="1" applyAlignment="1">
      <alignment horizontal="right" vertical="center"/>
    </xf>
    <xf numFmtId="177" fontId="6" fillId="2" borderId="84" xfId="1" applyNumberFormat="1" applyFont="1" applyFill="1" applyBorder="1" applyAlignment="1">
      <alignment horizontal="right" vertical="center"/>
    </xf>
    <xf numFmtId="0" fontId="13" fillId="0" borderId="142" xfId="0" applyFont="1" applyBorder="1" applyAlignment="1">
      <alignment horizontal="left" vertical="top" wrapText="1"/>
    </xf>
    <xf numFmtId="0" fontId="13" fillId="3" borderId="1" xfId="14" applyFont="1" applyFill="1" applyBorder="1" applyAlignment="1">
      <alignment vertical="center" wrapText="1"/>
    </xf>
    <xf numFmtId="41" fontId="7" fillId="2" borderId="1" xfId="1" applyFont="1" applyFill="1" applyBorder="1" applyAlignment="1">
      <alignment horizontal="right" vertical="center"/>
    </xf>
    <xf numFmtId="176" fontId="7" fillId="2" borderId="83" xfId="1" applyNumberFormat="1" applyFont="1" applyFill="1" applyBorder="1" applyAlignment="1">
      <alignment horizontal="right" vertical="center"/>
    </xf>
    <xf numFmtId="177" fontId="7" fillId="2" borderId="83" xfId="1" applyNumberFormat="1" applyFont="1" applyFill="1" applyBorder="1" applyAlignment="1">
      <alignment horizontal="right" vertical="center"/>
    </xf>
    <xf numFmtId="0" fontId="13" fillId="3" borderId="63" xfId="14" applyFont="1" applyFill="1" applyBorder="1" applyAlignment="1">
      <alignment vertical="top" wrapText="1"/>
    </xf>
    <xf numFmtId="176" fontId="7" fillId="2" borderId="6" xfId="1" applyNumberFormat="1" applyFont="1" applyFill="1" applyBorder="1" applyAlignment="1">
      <alignment horizontal="right" vertical="center"/>
    </xf>
    <xf numFmtId="176" fontId="6" fillId="2" borderId="84" xfId="1" applyNumberFormat="1" applyFont="1" applyFill="1" applyBorder="1" applyAlignment="1">
      <alignment horizontal="right" vertical="center"/>
    </xf>
    <xf numFmtId="177" fontId="6" fillId="2" borderId="76" xfId="1" applyNumberFormat="1" applyFont="1" applyFill="1" applyBorder="1" applyAlignment="1">
      <alignment horizontal="right" vertical="center"/>
    </xf>
    <xf numFmtId="0" fontId="13" fillId="3" borderId="73" xfId="14" applyFont="1" applyFill="1" applyBorder="1" applyAlignment="1">
      <alignment vertical="top" wrapText="1"/>
    </xf>
    <xf numFmtId="0" fontId="7" fillId="0" borderId="71" xfId="0" applyFont="1" applyBorder="1" applyAlignment="1">
      <alignment vertical="center" wrapText="1"/>
    </xf>
    <xf numFmtId="0" fontId="18" fillId="3" borderId="74" xfId="14" applyFont="1" applyFill="1" applyBorder="1" applyAlignment="1">
      <alignment vertical="top" wrapText="1"/>
    </xf>
    <xf numFmtId="0" fontId="18" fillId="3" borderId="69" xfId="14" applyFont="1" applyFill="1" applyBorder="1" applyAlignment="1">
      <alignment vertical="top" wrapText="1"/>
    </xf>
    <xf numFmtId="41" fontId="6" fillId="0" borderId="70" xfId="1" applyFont="1" applyBorder="1" applyAlignment="1">
      <alignment horizontal="right" vertical="center"/>
    </xf>
    <xf numFmtId="41" fontId="6" fillId="0" borderId="4" xfId="1" applyFont="1" applyBorder="1" applyAlignment="1">
      <alignment horizontal="right" vertical="center"/>
    </xf>
    <xf numFmtId="176" fontId="7" fillId="2" borderId="16" xfId="0" applyNumberFormat="1" applyFont="1" applyFill="1" applyBorder="1" applyAlignment="1">
      <alignment horizontal="right" vertical="center"/>
    </xf>
    <xf numFmtId="176" fontId="44" fillId="2" borderId="73" xfId="1" applyNumberFormat="1" applyFont="1" applyFill="1" applyBorder="1" applyAlignment="1">
      <alignment vertical="center" wrapText="1"/>
    </xf>
    <xf numFmtId="177" fontId="44" fillId="2" borderId="75" xfId="1" applyNumberFormat="1" applyFont="1" applyFill="1" applyBorder="1" applyAlignment="1">
      <alignment horizontal="center" vertical="center" wrapText="1"/>
    </xf>
    <xf numFmtId="0" fontId="30" fillId="2" borderId="18" xfId="4" applyNumberFormat="1" applyFont="1" applyFill="1" applyBorder="1" applyAlignment="1">
      <alignment vertical="center"/>
    </xf>
    <xf numFmtId="177" fontId="6" fillId="2" borderId="148" xfId="0" applyNumberFormat="1" applyFont="1" applyFill="1" applyBorder="1" applyAlignment="1">
      <alignment horizontal="right" vertical="center"/>
    </xf>
    <xf numFmtId="177" fontId="6" fillId="2" borderId="155" xfId="0" applyNumberFormat="1" applyFont="1" applyFill="1" applyBorder="1" applyAlignment="1">
      <alignment horizontal="right" vertical="center"/>
    </xf>
    <xf numFmtId="9" fontId="7" fillId="2" borderId="53" xfId="0" applyNumberFormat="1" applyFont="1" applyFill="1" applyBorder="1" applyAlignment="1">
      <alignment horizontal="right" vertical="center"/>
    </xf>
    <xf numFmtId="41" fontId="6" fillId="4" borderId="79" xfId="0" applyNumberFormat="1" applyFont="1" applyFill="1" applyBorder="1" applyAlignment="1">
      <alignment vertical="center"/>
    </xf>
    <xf numFmtId="177" fontId="6" fillId="4" borderId="79" xfId="1" applyNumberFormat="1" applyFont="1" applyFill="1" applyBorder="1" applyAlignment="1">
      <alignment horizontal="right" vertical="center"/>
    </xf>
    <xf numFmtId="176" fontId="18" fillId="0" borderId="52" xfId="4" applyNumberFormat="1" applyFont="1" applyFill="1" applyBorder="1" applyAlignment="1">
      <alignment horizontal="center" vertical="top" wrapText="1"/>
    </xf>
    <xf numFmtId="176" fontId="18" fillId="3" borderId="70" xfId="4" applyNumberFormat="1" applyFont="1" applyFill="1" applyBorder="1" applyAlignment="1">
      <alignment horizontal="center" vertical="top" wrapText="1"/>
    </xf>
    <xf numFmtId="178" fontId="13" fillId="2" borderId="73" xfId="1" applyNumberFormat="1" applyFont="1" applyFill="1" applyBorder="1" applyAlignment="1">
      <alignment vertical="center" wrapText="1"/>
    </xf>
    <xf numFmtId="176" fontId="23" fillId="2" borderId="34" xfId="4" applyNumberFormat="1" applyFont="1" applyFill="1" applyBorder="1" applyAlignment="1">
      <alignment horizontal="right" vertical="center" wrapText="1"/>
    </xf>
    <xf numFmtId="0" fontId="7" fillId="2" borderId="138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top" wrapText="1"/>
    </xf>
    <xf numFmtId="41" fontId="7" fillId="2" borderId="1" xfId="5" applyNumberFormat="1" applyFont="1" applyFill="1" applyBorder="1" applyAlignment="1">
      <alignment horizontal="right" vertical="center" wrapText="1"/>
    </xf>
    <xf numFmtId="41" fontId="6" fillId="2" borderId="73" xfId="5" applyNumberFormat="1" applyFont="1" applyFill="1" applyBorder="1" applyAlignment="1">
      <alignment horizontal="right" vertical="center" wrapText="1"/>
    </xf>
    <xf numFmtId="41" fontId="24" fillId="2" borderId="28" xfId="4" applyNumberFormat="1" applyFont="1" applyFill="1" applyBorder="1" applyAlignment="1">
      <alignment horizontal="right" vertical="center" wrapText="1"/>
    </xf>
    <xf numFmtId="41" fontId="24" fillId="2" borderId="119" xfId="4" applyNumberFormat="1" applyFont="1" applyFill="1" applyBorder="1" applyAlignment="1">
      <alignment horizontal="right" vertical="center" wrapText="1"/>
    </xf>
    <xf numFmtId="0" fontId="24" fillId="2" borderId="73" xfId="4" applyNumberFormat="1" applyFont="1" applyFill="1" applyBorder="1" applyAlignment="1">
      <alignment horizontal="left" vertical="top" wrapText="1"/>
    </xf>
    <xf numFmtId="0" fontId="24" fillId="2" borderId="1" xfId="4" applyNumberFormat="1" applyFont="1" applyFill="1" applyBorder="1" applyAlignment="1">
      <alignment horizontal="left" vertical="top" wrapText="1"/>
    </xf>
    <xf numFmtId="0" fontId="24" fillId="2" borderId="63" xfId="4" applyNumberFormat="1" applyFont="1" applyFill="1" applyBorder="1" applyAlignment="1">
      <alignment horizontal="left" vertical="top" wrapText="1"/>
    </xf>
    <xf numFmtId="176" fontId="23" fillId="2" borderId="76" xfId="4" applyNumberFormat="1" applyFont="1" applyFill="1" applyBorder="1" applyAlignment="1">
      <alignment horizontal="right" vertical="center" wrapText="1"/>
    </xf>
    <xf numFmtId="176" fontId="24" fillId="2" borderId="7" xfId="5" applyNumberFormat="1" applyFont="1" applyFill="1" applyBorder="1" applyAlignment="1">
      <alignment horizontal="right" vertical="center" wrapText="1"/>
    </xf>
    <xf numFmtId="41" fontId="23" fillId="2" borderId="76" xfId="1" applyFont="1" applyFill="1" applyBorder="1" applyAlignment="1">
      <alignment horizontal="right" vertical="center" wrapText="1"/>
    </xf>
    <xf numFmtId="0" fontId="0" fillId="0" borderId="9" xfId="0" applyBorder="1">
      <alignment vertical="center"/>
    </xf>
    <xf numFmtId="0" fontId="16" fillId="10" borderId="33" xfId="0" applyFont="1" applyFill="1" applyBorder="1" applyAlignment="1">
      <alignment horizontal="left" vertical="center" wrapText="1"/>
    </xf>
    <xf numFmtId="0" fontId="16" fillId="10" borderId="33" xfId="0" applyFont="1" applyFill="1" applyBorder="1" applyAlignment="1">
      <alignment vertical="center" wrapText="1"/>
    </xf>
    <xf numFmtId="0" fontId="12" fillId="10" borderId="33" xfId="0" applyFont="1" applyFill="1" applyBorder="1" applyAlignment="1">
      <alignment vertical="center" wrapText="1"/>
    </xf>
    <xf numFmtId="0" fontId="16" fillId="10" borderId="44" xfId="0" applyFont="1" applyFill="1" applyBorder="1" applyAlignment="1">
      <alignment vertical="center" wrapText="1"/>
    </xf>
    <xf numFmtId="0" fontId="12" fillId="10" borderId="174" xfId="0" applyFont="1" applyFill="1" applyBorder="1" applyAlignment="1">
      <alignment vertical="center" wrapText="1"/>
    </xf>
    <xf numFmtId="0" fontId="16" fillId="10" borderId="29" xfId="0" applyFont="1" applyFill="1" applyBorder="1" applyAlignment="1">
      <alignment horizontal="left" vertical="center" wrapText="1"/>
    </xf>
    <xf numFmtId="0" fontId="12" fillId="10" borderId="44" xfId="0" applyFont="1" applyFill="1" applyBorder="1" applyAlignment="1">
      <alignment vertical="center" wrapText="1"/>
    </xf>
    <xf numFmtId="0" fontId="27" fillId="0" borderId="18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28" fillId="0" borderId="0" xfId="0" applyFont="1" applyBorder="1" applyAlignment="1">
      <alignment horizontal="center" vertical="center"/>
    </xf>
    <xf numFmtId="0" fontId="5" fillId="9" borderId="5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6" borderId="78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27" fillId="0" borderId="77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176" fontId="18" fillId="4" borderId="78" xfId="4" applyNumberFormat="1" applyFont="1" applyFill="1" applyBorder="1" applyAlignment="1">
      <alignment horizontal="center" vertical="center" wrapText="1"/>
    </xf>
    <xf numFmtId="176" fontId="18" fillId="4" borderId="18" xfId="4" applyNumberFormat="1" applyFont="1" applyFill="1" applyBorder="1" applyAlignment="1">
      <alignment horizontal="center" vertical="center" wrapText="1"/>
    </xf>
    <xf numFmtId="176" fontId="18" fillId="4" borderId="20" xfId="4" applyNumberFormat="1" applyFont="1" applyFill="1" applyBorder="1" applyAlignment="1">
      <alignment horizontal="center" vertical="center" wrapText="1"/>
    </xf>
    <xf numFmtId="0" fontId="5" fillId="4" borderId="99" xfId="0" applyFont="1" applyFill="1" applyBorder="1" applyAlignment="1">
      <alignment horizontal="center" vertical="center"/>
    </xf>
    <xf numFmtId="0" fontId="5" fillId="4" borderId="98" xfId="0" applyFont="1" applyFill="1" applyBorder="1" applyAlignment="1">
      <alignment horizontal="center" vertical="center"/>
    </xf>
    <xf numFmtId="0" fontId="32" fillId="2" borderId="99" xfId="0" applyFont="1" applyFill="1" applyBorder="1" applyAlignment="1">
      <alignment horizontal="center" vertical="center" textRotation="255" shrinkToFit="1"/>
    </xf>
    <xf numFmtId="0" fontId="32" fillId="2" borderId="100" xfId="0" applyFont="1" applyFill="1" applyBorder="1" applyAlignment="1">
      <alignment horizontal="center" vertical="center" textRotation="255" shrinkToFit="1"/>
    </xf>
    <xf numFmtId="0" fontId="32" fillId="2" borderId="98" xfId="0" applyFont="1" applyFill="1" applyBorder="1" applyAlignment="1">
      <alignment horizontal="center" vertical="center" textRotation="255" shrinkToFit="1"/>
    </xf>
    <xf numFmtId="176" fontId="18" fillId="2" borderId="84" xfId="4" applyNumberFormat="1" applyFont="1" applyFill="1" applyBorder="1" applyAlignment="1">
      <alignment horizontal="center" vertical="top" wrapText="1"/>
    </xf>
    <xf numFmtId="176" fontId="18" fillId="2" borderId="5" xfId="4" applyNumberFormat="1" applyFont="1" applyFill="1" applyBorder="1" applyAlignment="1">
      <alignment horizontal="center" vertical="top" wrapText="1"/>
    </xf>
    <xf numFmtId="176" fontId="18" fillId="3" borderId="11" xfId="4" applyNumberFormat="1" applyFont="1" applyFill="1" applyBorder="1" applyAlignment="1">
      <alignment horizontal="left" vertical="top" wrapText="1"/>
    </xf>
    <xf numFmtId="176" fontId="18" fillId="3" borderId="80" xfId="4" applyNumberFormat="1" applyFont="1" applyFill="1" applyBorder="1" applyAlignment="1">
      <alignment horizontal="left" vertical="top" wrapText="1"/>
    </xf>
    <xf numFmtId="176" fontId="18" fillId="3" borderId="72" xfId="4" applyNumberFormat="1" applyFont="1" applyFill="1" applyBorder="1" applyAlignment="1">
      <alignment horizontal="left" vertical="top" wrapText="1"/>
    </xf>
    <xf numFmtId="176" fontId="13" fillId="3" borderId="1" xfId="4" applyNumberFormat="1" applyFont="1" applyFill="1" applyBorder="1" applyAlignment="1">
      <alignment horizontal="left" vertical="top" wrapText="1"/>
    </xf>
    <xf numFmtId="176" fontId="13" fillId="3" borderId="63" xfId="4" applyNumberFormat="1" applyFont="1" applyFill="1" applyBorder="1" applyAlignment="1">
      <alignment horizontal="left" vertical="top" wrapText="1"/>
    </xf>
    <xf numFmtId="176" fontId="18" fillId="2" borderId="76" xfId="4" applyNumberFormat="1" applyFont="1" applyFill="1" applyBorder="1" applyAlignment="1">
      <alignment horizontal="center" vertical="top" wrapText="1"/>
    </xf>
    <xf numFmtId="176" fontId="18" fillId="2" borderId="52" xfId="4" applyNumberFormat="1" applyFont="1" applyFill="1" applyBorder="1" applyAlignment="1">
      <alignment horizontal="center" vertical="top" wrapText="1"/>
    </xf>
    <xf numFmtId="0" fontId="20" fillId="2" borderId="70" xfId="4" applyNumberFormat="1" applyFont="1" applyFill="1" applyBorder="1" applyAlignment="1">
      <alignment horizontal="center" vertical="top" wrapText="1"/>
    </xf>
    <xf numFmtId="176" fontId="18" fillId="0" borderId="84" xfId="4" applyNumberFormat="1" applyFont="1" applyFill="1" applyBorder="1" applyAlignment="1">
      <alignment horizontal="center" vertical="top" wrapText="1"/>
    </xf>
    <xf numFmtId="176" fontId="18" fillId="0" borderId="5" xfId="4" applyNumberFormat="1" applyFont="1" applyFill="1" applyBorder="1" applyAlignment="1">
      <alignment horizontal="center" vertical="top" wrapText="1"/>
    </xf>
    <xf numFmtId="176" fontId="13" fillId="3" borderId="70" xfId="4" applyNumberFormat="1" applyFont="1" applyFill="1" applyBorder="1" applyAlignment="1">
      <alignment horizontal="left" vertical="top" wrapText="1"/>
    </xf>
    <xf numFmtId="176" fontId="13" fillId="3" borderId="65" xfId="4" applyNumberFormat="1" applyFont="1" applyFill="1" applyBorder="1" applyAlignment="1">
      <alignment horizontal="left" vertical="top" wrapText="1"/>
    </xf>
    <xf numFmtId="176" fontId="13" fillId="3" borderId="7" xfId="4" applyNumberFormat="1" applyFont="1" applyFill="1" applyBorder="1" applyAlignment="1">
      <alignment horizontal="left" vertical="top" wrapText="1"/>
    </xf>
    <xf numFmtId="176" fontId="18" fillId="2" borderId="7" xfId="4" applyNumberFormat="1" applyFont="1" applyFill="1" applyBorder="1" applyAlignment="1">
      <alignment horizontal="center" vertical="top" wrapText="1"/>
    </xf>
    <xf numFmtId="176" fontId="18" fillId="2" borderId="11" xfId="4" applyNumberFormat="1" applyFont="1" applyFill="1" applyBorder="1" applyAlignment="1">
      <alignment horizontal="left" vertical="top" wrapText="1"/>
    </xf>
    <xf numFmtId="176" fontId="18" fillId="2" borderId="72" xfId="4" applyNumberFormat="1" applyFont="1" applyFill="1" applyBorder="1" applyAlignment="1">
      <alignment horizontal="left" vertical="top" wrapText="1"/>
    </xf>
    <xf numFmtId="176" fontId="18" fillId="3" borderId="56" xfId="4" applyNumberFormat="1" applyFont="1" applyFill="1" applyBorder="1" applyAlignment="1">
      <alignment horizontal="left" vertical="top" wrapText="1"/>
    </xf>
    <xf numFmtId="176" fontId="18" fillId="3" borderId="62" xfId="4" applyNumberFormat="1" applyFont="1" applyFill="1" applyBorder="1" applyAlignment="1">
      <alignment horizontal="left" vertical="top" wrapText="1"/>
    </xf>
    <xf numFmtId="176" fontId="18" fillId="3" borderId="69" xfId="4" applyNumberFormat="1" applyFont="1" applyFill="1" applyBorder="1" applyAlignment="1">
      <alignment horizontal="left" vertical="top" wrapText="1"/>
    </xf>
    <xf numFmtId="176" fontId="13" fillId="3" borderId="10" xfId="4" applyNumberFormat="1" applyFont="1" applyFill="1" applyBorder="1" applyAlignment="1">
      <alignment horizontal="left" vertical="top" wrapText="1"/>
    </xf>
    <xf numFmtId="176" fontId="13" fillId="3" borderId="73" xfId="4" applyNumberFormat="1" applyFont="1" applyFill="1" applyBorder="1" applyAlignment="1">
      <alignment horizontal="left" vertical="top" wrapText="1"/>
    </xf>
    <xf numFmtId="41" fontId="32" fillId="4" borderId="10" xfId="1" applyFont="1" applyFill="1" applyBorder="1" applyAlignment="1">
      <alignment horizontal="center" vertical="center" wrapText="1"/>
    </xf>
    <xf numFmtId="41" fontId="32" fillId="4" borderId="7" xfId="1" applyFont="1" applyFill="1" applyBorder="1" applyAlignment="1">
      <alignment horizontal="center" vertical="center" wrapText="1"/>
    </xf>
    <xf numFmtId="9" fontId="32" fillId="4" borderId="1" xfId="1" applyNumberFormat="1" applyFont="1" applyFill="1" applyBorder="1" applyAlignment="1">
      <alignment horizontal="center" vertical="center" wrapText="1"/>
    </xf>
    <xf numFmtId="9" fontId="32" fillId="4" borderId="70" xfId="1" applyNumberFormat="1" applyFont="1" applyFill="1" applyBorder="1" applyAlignment="1">
      <alignment horizontal="center" vertical="center" wrapText="1"/>
    </xf>
    <xf numFmtId="177" fontId="32" fillId="4" borderId="2" xfId="1" applyNumberFormat="1" applyFont="1" applyFill="1" applyBorder="1" applyAlignment="1">
      <alignment horizontal="center" vertical="center" wrapText="1"/>
    </xf>
    <xf numFmtId="177" fontId="32" fillId="4" borderId="71" xfId="1" applyNumberFormat="1" applyFont="1" applyFill="1" applyBorder="1" applyAlignment="1">
      <alignment horizontal="center" vertical="center" wrapText="1"/>
    </xf>
    <xf numFmtId="176" fontId="18" fillId="3" borderId="74" xfId="4" applyNumberFormat="1" applyFont="1" applyFill="1" applyBorder="1" applyAlignment="1">
      <alignment horizontal="left" vertical="top" wrapText="1"/>
    </xf>
    <xf numFmtId="176" fontId="18" fillId="2" borderId="84" xfId="4" applyNumberFormat="1" applyFont="1" applyFill="1" applyBorder="1" applyAlignment="1">
      <alignment horizontal="center" vertical="center" wrapText="1"/>
    </xf>
    <xf numFmtId="176" fontId="18" fillId="2" borderId="5" xfId="4" applyNumberFormat="1" applyFont="1" applyFill="1" applyBorder="1" applyAlignment="1">
      <alignment horizontal="center" vertical="center" wrapText="1"/>
    </xf>
    <xf numFmtId="176" fontId="18" fillId="3" borderId="76" xfId="4" applyNumberFormat="1" applyFont="1" applyFill="1" applyBorder="1" applyAlignment="1">
      <alignment horizontal="center" vertical="top" wrapText="1"/>
    </xf>
    <xf numFmtId="176" fontId="18" fillId="3" borderId="52" xfId="4" applyNumberFormat="1" applyFont="1" applyFill="1" applyBorder="1" applyAlignment="1">
      <alignment horizontal="center" vertical="top" wrapText="1"/>
    </xf>
    <xf numFmtId="176" fontId="18" fillId="4" borderId="56" xfId="4" applyNumberFormat="1" applyFont="1" applyFill="1" applyBorder="1" applyAlignment="1">
      <alignment horizontal="left" vertical="top" wrapText="1"/>
    </xf>
    <xf numFmtId="176" fontId="18" fillId="4" borderId="1" xfId="4" applyNumberFormat="1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139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 wrapText="1"/>
    </xf>
    <xf numFmtId="0" fontId="7" fillId="2" borderId="63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center" vertical="top"/>
    </xf>
    <xf numFmtId="0" fontId="6" fillId="2" borderId="39" xfId="0" applyFont="1" applyFill="1" applyBorder="1" applyAlignment="1">
      <alignment horizontal="center" vertical="top"/>
    </xf>
    <xf numFmtId="0" fontId="6" fillId="4" borderId="17" xfId="0" applyFont="1" applyFill="1" applyBorder="1" applyAlignment="1">
      <alignment horizontal="left" vertical="top"/>
    </xf>
    <xf numFmtId="0" fontId="6" fillId="4" borderId="9" xfId="0" applyFont="1" applyFill="1" applyBorder="1" applyAlignment="1">
      <alignment horizontal="left" vertical="top"/>
    </xf>
    <xf numFmtId="0" fontId="6" fillId="4" borderId="40" xfId="0" applyFont="1" applyFill="1" applyBorder="1" applyAlignment="1">
      <alignment horizontal="left" vertical="top"/>
    </xf>
    <xf numFmtId="0" fontId="6" fillId="8" borderId="99" xfId="0" applyFont="1" applyFill="1" applyBorder="1" applyAlignment="1">
      <alignment horizontal="center" vertical="center"/>
    </xf>
    <xf numFmtId="0" fontId="6" fillId="8" borderId="98" xfId="0" applyFont="1" applyFill="1" applyBorder="1" applyAlignment="1">
      <alignment horizontal="center" vertical="center"/>
    </xf>
    <xf numFmtId="0" fontId="5" fillId="0" borderId="99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top"/>
    </xf>
    <xf numFmtId="0" fontId="6" fillId="2" borderId="5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left" vertical="top"/>
    </xf>
    <xf numFmtId="0" fontId="6" fillId="2" borderId="80" xfId="0" applyFont="1" applyFill="1" applyBorder="1" applyAlignment="1">
      <alignment horizontal="left" vertical="top"/>
    </xf>
    <xf numFmtId="0" fontId="6" fillId="2" borderId="72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65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 wrapText="1"/>
    </xf>
    <xf numFmtId="0" fontId="7" fillId="2" borderId="65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4" borderId="4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49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63" xfId="0" applyFont="1" applyFill="1" applyBorder="1" applyAlignment="1">
      <alignment horizontal="left" vertical="top" wrapText="1"/>
    </xf>
    <xf numFmtId="0" fontId="6" fillId="2" borderId="50" xfId="0" applyFont="1" applyFill="1" applyBorder="1" applyAlignment="1">
      <alignment horizontal="center" vertical="top"/>
    </xf>
    <xf numFmtId="0" fontId="6" fillId="2" borderId="4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70" xfId="0" applyFont="1" applyFill="1" applyBorder="1" applyAlignment="1">
      <alignment horizontal="left" vertical="top" wrapText="1"/>
    </xf>
    <xf numFmtId="0" fontId="6" fillId="2" borderId="74" xfId="0" applyFont="1" applyFill="1" applyBorder="1" applyAlignment="1">
      <alignment horizontal="left" vertical="top" wrapText="1"/>
    </xf>
    <xf numFmtId="0" fontId="6" fillId="2" borderId="62" xfId="0" applyFont="1" applyFill="1" applyBorder="1" applyAlignment="1">
      <alignment horizontal="left" vertical="top" wrapText="1"/>
    </xf>
    <xf numFmtId="0" fontId="6" fillId="2" borderId="69" xfId="0" applyFont="1" applyFill="1" applyBorder="1" applyAlignment="1">
      <alignment horizontal="left" vertical="top" wrapText="1"/>
    </xf>
    <xf numFmtId="177" fontId="32" fillId="4" borderId="10" xfId="1" applyNumberFormat="1" applyFont="1" applyFill="1" applyBorder="1" applyAlignment="1">
      <alignment horizontal="center" vertical="center" wrapText="1"/>
    </xf>
    <xf numFmtId="177" fontId="32" fillId="4" borderId="7" xfId="1" applyNumberFormat="1" applyFont="1" applyFill="1" applyBorder="1" applyAlignment="1">
      <alignment horizontal="center" vertical="center" wrapText="1"/>
    </xf>
    <xf numFmtId="0" fontId="23" fillId="4" borderId="56" xfId="4" applyNumberFormat="1" applyFont="1" applyFill="1" applyBorder="1" applyAlignment="1">
      <alignment horizontal="center" vertical="center" wrapText="1"/>
    </xf>
    <xf numFmtId="0" fontId="23" fillId="4" borderId="1" xfId="4" applyNumberFormat="1" applyFont="1" applyFill="1" applyBorder="1" applyAlignment="1">
      <alignment horizontal="center" vertical="center" wrapText="1"/>
    </xf>
    <xf numFmtId="177" fontId="32" fillId="4" borderId="14" xfId="1" applyNumberFormat="1" applyFont="1" applyFill="1" applyBorder="1" applyAlignment="1">
      <alignment horizontal="center" vertical="center" wrapText="1"/>
    </xf>
    <xf numFmtId="177" fontId="32" fillId="4" borderId="46" xfId="1" applyNumberFormat="1" applyFont="1" applyFill="1" applyBorder="1" applyAlignment="1">
      <alignment horizontal="center" vertical="center" wrapText="1"/>
    </xf>
    <xf numFmtId="0" fontId="23" fillId="2" borderId="80" xfId="4" applyNumberFormat="1" applyFont="1" applyFill="1" applyBorder="1" applyAlignment="1">
      <alignment horizontal="left" vertical="top" wrapText="1"/>
    </xf>
    <xf numFmtId="0" fontId="23" fillId="2" borderId="72" xfId="4" applyNumberFormat="1" applyFont="1" applyFill="1" applyBorder="1" applyAlignment="1">
      <alignment horizontal="left" vertical="top" wrapText="1"/>
    </xf>
    <xf numFmtId="0" fontId="24" fillId="2" borderId="65" xfId="4" applyNumberFormat="1" applyFont="1" applyFill="1" applyBorder="1" applyAlignment="1">
      <alignment horizontal="left" vertical="top" wrapText="1"/>
    </xf>
    <xf numFmtId="0" fontId="24" fillId="2" borderId="7" xfId="4" applyNumberFormat="1" applyFont="1" applyFill="1" applyBorder="1" applyAlignment="1">
      <alignment horizontal="left" vertical="top" wrapText="1"/>
    </xf>
    <xf numFmtId="0" fontId="24" fillId="2" borderId="10" xfId="4" applyNumberFormat="1" applyFont="1" applyFill="1" applyBorder="1" applyAlignment="1">
      <alignment horizontal="left" vertical="top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/>
    </xf>
    <xf numFmtId="0" fontId="23" fillId="2" borderId="12" xfId="4" applyNumberFormat="1" applyFont="1" applyFill="1" applyBorder="1" applyAlignment="1">
      <alignment horizontal="left" vertical="top" wrapText="1"/>
    </xf>
    <xf numFmtId="0" fontId="23" fillId="2" borderId="17" xfId="4" applyNumberFormat="1" applyFont="1" applyFill="1" applyBorder="1" applyAlignment="1">
      <alignment horizontal="left" vertical="top" wrapText="1"/>
    </xf>
    <xf numFmtId="0" fontId="23" fillId="8" borderId="72" xfId="4" applyNumberFormat="1" applyFont="1" applyFill="1" applyBorder="1" applyAlignment="1">
      <alignment horizontal="center" vertical="center" wrapText="1"/>
    </xf>
    <xf numFmtId="0" fontId="23" fillId="8" borderId="7" xfId="4" applyNumberFormat="1" applyFont="1" applyFill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24" fillId="2" borderId="73" xfId="4" applyNumberFormat="1" applyFont="1" applyFill="1" applyBorder="1" applyAlignment="1">
      <alignment horizontal="left" vertical="top" wrapText="1"/>
    </xf>
    <xf numFmtId="0" fontId="23" fillId="2" borderId="84" xfId="4" applyNumberFormat="1" applyFont="1" applyFill="1" applyBorder="1" applyAlignment="1">
      <alignment horizontal="center" vertical="top" wrapText="1"/>
    </xf>
    <xf numFmtId="0" fontId="23" fillId="2" borderId="5" xfId="4" applyNumberFormat="1" applyFont="1" applyFill="1" applyBorder="1" applyAlignment="1">
      <alignment horizontal="center" vertical="top" wrapText="1"/>
    </xf>
    <xf numFmtId="0" fontId="18" fillId="0" borderId="8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3" borderId="11" xfId="14" applyFont="1" applyFill="1" applyBorder="1" applyAlignment="1">
      <alignment horizontal="left" vertical="top" wrapText="1"/>
    </xf>
    <xf numFmtId="0" fontId="18" fillId="3" borderId="80" xfId="14" applyFont="1" applyFill="1" applyBorder="1" applyAlignment="1">
      <alignment horizontal="left" vertical="top" wrapText="1"/>
    </xf>
    <xf numFmtId="0" fontId="18" fillId="3" borderId="72" xfId="14" applyFont="1" applyFill="1" applyBorder="1" applyAlignment="1">
      <alignment horizontal="left" vertical="top" wrapText="1"/>
    </xf>
    <xf numFmtId="0" fontId="23" fillId="2" borderId="76" xfId="4" applyNumberFormat="1" applyFont="1" applyFill="1" applyBorder="1" applyAlignment="1">
      <alignment horizontal="center" vertical="top" wrapText="1"/>
    </xf>
    <xf numFmtId="0" fontId="23" fillId="2" borderId="52" xfId="4" applyNumberFormat="1" applyFont="1" applyFill="1" applyBorder="1" applyAlignment="1">
      <alignment horizontal="center" vertical="top" wrapText="1"/>
    </xf>
    <xf numFmtId="0" fontId="38" fillId="2" borderId="0" xfId="4" applyNumberFormat="1" applyFont="1" applyFill="1" applyBorder="1" applyAlignment="1">
      <alignment horizontal="center" vertical="center"/>
    </xf>
    <xf numFmtId="0" fontId="22" fillId="2" borderId="0" xfId="4" applyNumberFormat="1" applyFont="1" applyFill="1" applyBorder="1" applyAlignment="1">
      <alignment horizontal="center" vertical="center"/>
    </xf>
    <xf numFmtId="0" fontId="39" fillId="2" borderId="0" xfId="4" applyNumberFormat="1" applyFont="1" applyFill="1" applyBorder="1" applyAlignment="1">
      <alignment horizontal="center" vertical="center"/>
    </xf>
    <xf numFmtId="0" fontId="23" fillId="2" borderId="51" xfId="4" applyNumberFormat="1" applyFont="1" applyFill="1" applyBorder="1" applyAlignment="1">
      <alignment horizontal="left" vertical="top" wrapText="1"/>
    </xf>
    <xf numFmtId="0" fontId="23" fillId="2" borderId="49" xfId="4" applyNumberFormat="1" applyFont="1" applyFill="1" applyBorder="1" applyAlignment="1">
      <alignment horizontal="left" vertical="top" wrapText="1"/>
    </xf>
    <xf numFmtId="0" fontId="23" fillId="2" borderId="50" xfId="4" applyNumberFormat="1" applyFont="1" applyFill="1" applyBorder="1" applyAlignment="1">
      <alignment horizontal="center" vertical="center" wrapText="1"/>
    </xf>
    <xf numFmtId="0" fontId="23" fillId="2" borderId="40" xfId="4" applyNumberFormat="1" applyFont="1" applyFill="1" applyBorder="1" applyAlignment="1">
      <alignment horizontal="center" vertical="center" wrapText="1"/>
    </xf>
    <xf numFmtId="0" fontId="6" fillId="2" borderId="80" xfId="0" applyFont="1" applyFill="1" applyBorder="1" applyAlignment="1">
      <alignment horizontal="left" vertical="top" wrapText="1"/>
    </xf>
    <xf numFmtId="0" fontId="6" fillId="2" borderId="72" xfId="0" applyFont="1" applyFill="1" applyBorder="1" applyAlignment="1">
      <alignment horizontal="left" vertical="top" wrapText="1"/>
    </xf>
    <xf numFmtId="0" fontId="6" fillId="2" borderId="8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vertical="top" wrapText="1"/>
    </xf>
    <xf numFmtId="0" fontId="6" fillId="2" borderId="80" xfId="0" applyFont="1" applyFill="1" applyBorder="1" applyAlignment="1">
      <alignment vertical="top" wrapText="1"/>
    </xf>
    <xf numFmtId="0" fontId="6" fillId="2" borderId="72" xfId="0" applyFont="1" applyFill="1" applyBorder="1" applyAlignment="1">
      <alignment vertical="top" wrapText="1"/>
    </xf>
    <xf numFmtId="0" fontId="6" fillId="2" borderId="70" xfId="0" applyFont="1" applyFill="1" applyBorder="1" applyAlignment="1">
      <alignment horizontal="center" vertical="top" wrapText="1"/>
    </xf>
    <xf numFmtId="0" fontId="30" fillId="2" borderId="9" xfId="4" applyNumberFormat="1" applyFont="1" applyFill="1" applyBorder="1" applyAlignment="1">
      <alignment horizontal="left" vertical="center"/>
    </xf>
    <xf numFmtId="0" fontId="30" fillId="4" borderId="3" xfId="4" applyNumberFormat="1" applyFont="1" applyFill="1" applyBorder="1" applyAlignment="1">
      <alignment horizontal="center" vertical="center" wrapText="1"/>
    </xf>
    <xf numFmtId="0" fontId="30" fillId="4" borderId="1" xfId="4" applyNumberFormat="1" applyFont="1" applyFill="1" applyBorder="1" applyAlignment="1">
      <alignment horizontal="center" vertical="center" wrapText="1"/>
    </xf>
    <xf numFmtId="0" fontId="6" fillId="4" borderId="113" xfId="0" applyFont="1" applyFill="1" applyBorder="1" applyAlignment="1">
      <alignment horizontal="center" vertical="center"/>
    </xf>
    <xf numFmtId="0" fontId="6" fillId="4" borderId="92" xfId="0" applyFont="1" applyFill="1" applyBorder="1" applyAlignment="1">
      <alignment horizontal="center" vertical="center"/>
    </xf>
    <xf numFmtId="0" fontId="13" fillId="0" borderId="73" xfId="0" applyFont="1" applyBorder="1" applyAlignment="1">
      <alignment horizontal="left" vertical="top" wrapText="1"/>
    </xf>
    <xf numFmtId="0" fontId="13" fillId="0" borderId="63" xfId="0" applyFont="1" applyBorder="1" applyAlignment="1">
      <alignment horizontal="left" vertical="top" wrapText="1"/>
    </xf>
    <xf numFmtId="0" fontId="18" fillId="3" borderId="74" xfId="14" applyFont="1" applyFill="1" applyBorder="1" applyAlignment="1">
      <alignment vertical="top" wrapText="1"/>
    </xf>
    <xf numFmtId="0" fontId="18" fillId="0" borderId="62" xfId="0" applyFont="1" applyFill="1" applyBorder="1" applyAlignment="1" applyProtection="1">
      <alignment vertical="top" wrapText="1"/>
    </xf>
    <xf numFmtId="0" fontId="18" fillId="0" borderId="69" xfId="0" applyFont="1" applyFill="1" applyBorder="1" applyAlignment="1" applyProtection="1">
      <alignment vertical="top" wrapText="1"/>
    </xf>
    <xf numFmtId="0" fontId="13" fillId="3" borderId="63" xfId="14" applyFont="1" applyFill="1" applyBorder="1" applyAlignment="1">
      <alignment vertical="top" wrapText="1"/>
    </xf>
    <xf numFmtId="0" fontId="13" fillId="0" borderId="63" xfId="0" applyFont="1" applyFill="1" applyBorder="1" applyAlignment="1" applyProtection="1">
      <alignment vertical="top" wrapText="1"/>
    </xf>
    <xf numFmtId="0" fontId="13" fillId="3" borderId="73" xfId="14" applyFont="1" applyFill="1" applyBorder="1" applyAlignment="1">
      <alignment vertical="top" wrapText="1"/>
    </xf>
    <xf numFmtId="0" fontId="13" fillId="3" borderId="141" xfId="14" applyFont="1" applyFill="1" applyBorder="1" applyAlignment="1">
      <alignment horizontal="left" vertical="top" wrapText="1"/>
    </xf>
    <xf numFmtId="0" fontId="13" fillId="3" borderId="32" xfId="14" applyFont="1" applyFill="1" applyBorder="1" applyAlignment="1">
      <alignment horizontal="left" vertical="top" wrapText="1"/>
    </xf>
    <xf numFmtId="0" fontId="6" fillId="2" borderId="68" xfId="0" applyFont="1" applyFill="1" applyBorder="1" applyAlignment="1">
      <alignment horizontal="center" vertical="top" wrapText="1"/>
    </xf>
    <xf numFmtId="0" fontId="6" fillId="4" borderId="78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8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56" xfId="0" applyFont="1" applyFill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18" fillId="0" borderId="80" xfId="0" applyFont="1" applyBorder="1" applyAlignment="1">
      <alignment horizontal="left" vertical="top"/>
    </xf>
    <xf numFmtId="0" fontId="18" fillId="0" borderId="72" xfId="0" applyFont="1" applyBorder="1" applyAlignment="1">
      <alignment horizontal="left" vertical="top"/>
    </xf>
    <xf numFmtId="0" fontId="6" fillId="2" borderId="76" xfId="0" applyFont="1" applyFill="1" applyBorder="1" applyAlignment="1">
      <alignment horizontal="center" vertical="top" wrapText="1"/>
    </xf>
    <xf numFmtId="0" fontId="6" fillId="2" borderId="52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left" vertical="top"/>
    </xf>
    <xf numFmtId="0" fontId="6" fillId="2" borderId="49" xfId="0" applyFont="1" applyFill="1" applyBorder="1" applyAlignment="1">
      <alignment horizontal="left" vertical="top"/>
    </xf>
    <xf numFmtId="0" fontId="6" fillId="2" borderId="50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30" fillId="2" borderId="18" xfId="4" applyNumberFormat="1" applyFont="1" applyFill="1" applyBorder="1" applyAlignment="1">
      <alignment horizontal="left" vertical="center"/>
    </xf>
    <xf numFmtId="0" fontId="25" fillId="2" borderId="18" xfId="4" applyNumberFormat="1" applyFont="1" applyFill="1" applyBorder="1" applyAlignment="1">
      <alignment horizontal="left" vertical="center"/>
    </xf>
    <xf numFmtId="0" fontId="0" fillId="0" borderId="100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23" fillId="2" borderId="32" xfId="4" applyNumberFormat="1" applyFont="1" applyFill="1" applyBorder="1" applyAlignment="1">
      <alignment vertical="top" wrapText="1"/>
    </xf>
    <xf numFmtId="0" fontId="23" fillId="2" borderId="8" xfId="4" applyNumberFormat="1" applyFont="1" applyFill="1" applyBorder="1" applyAlignment="1">
      <alignment vertical="top" wrapText="1"/>
    </xf>
    <xf numFmtId="0" fontId="24" fillId="2" borderId="0" xfId="4" applyNumberFormat="1" applyFont="1" applyFill="1" applyBorder="1" applyAlignment="1">
      <alignment horizontal="left" vertical="top" wrapText="1"/>
    </xf>
    <xf numFmtId="0" fontId="24" fillId="2" borderId="24" xfId="4" applyNumberFormat="1" applyFont="1" applyFill="1" applyBorder="1" applyAlignment="1">
      <alignment horizontal="left" vertical="top" wrapText="1"/>
    </xf>
    <xf numFmtId="0" fontId="23" fillId="2" borderId="91" xfId="4" applyNumberFormat="1" applyFont="1" applyFill="1" applyBorder="1" applyAlignment="1">
      <alignment horizontal="center" vertical="top" wrapText="1"/>
    </xf>
    <xf numFmtId="0" fontId="23" fillId="8" borderId="9" xfId="4" applyNumberFormat="1" applyFont="1" applyFill="1" applyBorder="1" applyAlignment="1">
      <alignment horizontal="center" vertical="center" wrapText="1"/>
    </xf>
    <xf numFmtId="0" fontId="23" fillId="8" borderId="18" xfId="4" applyNumberFormat="1" applyFont="1" applyFill="1" applyBorder="1" applyAlignment="1">
      <alignment horizontal="center" vertical="center" wrapText="1"/>
    </xf>
    <xf numFmtId="0" fontId="23" fillId="8" borderId="20" xfId="4" applyNumberFormat="1" applyFont="1" applyFill="1" applyBorder="1" applyAlignment="1">
      <alignment horizontal="center" vertical="center" wrapText="1"/>
    </xf>
    <xf numFmtId="0" fontId="6" fillId="2" borderId="51" xfId="4" applyNumberFormat="1" applyFont="1" applyFill="1" applyBorder="1" applyAlignment="1">
      <alignment horizontal="left" vertical="top" wrapText="1"/>
    </xf>
    <xf numFmtId="0" fontId="6" fillId="2" borderId="49" xfId="4" applyNumberFormat="1" applyFont="1" applyFill="1" applyBorder="1" applyAlignment="1">
      <alignment horizontal="left" vertical="top" wrapText="1"/>
    </xf>
    <xf numFmtId="0" fontId="6" fillId="2" borderId="50" xfId="4" applyNumberFormat="1" applyFont="1" applyFill="1" applyBorder="1" applyAlignment="1">
      <alignment horizontal="center" vertical="center" wrapText="1"/>
    </xf>
    <xf numFmtId="0" fontId="6" fillId="2" borderId="40" xfId="4" applyNumberFormat="1" applyFont="1" applyFill="1" applyBorder="1" applyAlignment="1">
      <alignment horizontal="center" vertical="center" wrapText="1"/>
    </xf>
    <xf numFmtId="0" fontId="23" fillId="2" borderId="15" xfId="4" applyNumberFormat="1" applyFont="1" applyFill="1" applyBorder="1" applyAlignment="1">
      <alignment horizontal="left" vertical="top" wrapText="1"/>
    </xf>
    <xf numFmtId="0" fontId="24" fillId="2" borderId="1" xfId="4" applyNumberFormat="1" applyFont="1" applyFill="1" applyBorder="1" applyAlignment="1">
      <alignment horizontal="left" vertical="top" wrapText="1"/>
    </xf>
    <xf numFmtId="0" fontId="24" fillId="2" borderId="63" xfId="4" applyNumberFormat="1" applyFont="1" applyFill="1" applyBorder="1" applyAlignment="1">
      <alignment horizontal="left" vertical="top" wrapText="1"/>
    </xf>
    <xf numFmtId="0" fontId="23" fillId="2" borderId="90" xfId="4" applyNumberFormat="1" applyFont="1" applyFill="1" applyBorder="1" applyAlignment="1">
      <alignment horizontal="center" vertical="center" wrapText="1"/>
    </xf>
    <xf numFmtId="0" fontId="23" fillId="2" borderId="91" xfId="4" applyNumberFormat="1" applyFont="1" applyFill="1" applyBorder="1" applyAlignment="1">
      <alignment horizontal="center" vertical="center" wrapText="1"/>
    </xf>
    <xf numFmtId="0" fontId="23" fillId="2" borderId="74" xfId="4" applyNumberFormat="1" applyFont="1" applyFill="1" applyBorder="1" applyAlignment="1">
      <alignment horizontal="left" vertical="top" wrapText="1"/>
    </xf>
    <xf numFmtId="0" fontId="23" fillId="2" borderId="62" xfId="4" applyNumberFormat="1" applyFont="1" applyFill="1" applyBorder="1" applyAlignment="1">
      <alignment horizontal="left" vertical="top" wrapText="1"/>
    </xf>
    <xf numFmtId="0" fontId="23" fillId="2" borderId="69" xfId="4" applyNumberFormat="1" applyFont="1" applyFill="1" applyBorder="1" applyAlignment="1">
      <alignment horizontal="left" vertical="top" wrapText="1"/>
    </xf>
    <xf numFmtId="0" fontId="24" fillId="2" borderId="73" xfId="4" applyNumberFormat="1" applyFont="1" applyFill="1" applyBorder="1" applyAlignment="1">
      <alignment horizontal="left" vertical="top"/>
    </xf>
    <xf numFmtId="0" fontId="24" fillId="2" borderId="63" xfId="4" applyNumberFormat="1" applyFont="1" applyFill="1" applyBorder="1" applyAlignment="1">
      <alignment horizontal="left" vertical="top"/>
    </xf>
    <xf numFmtId="0" fontId="23" fillId="2" borderId="70" xfId="4" applyNumberFormat="1" applyFont="1" applyFill="1" applyBorder="1" applyAlignment="1">
      <alignment horizontal="center" vertical="center" wrapText="1"/>
    </xf>
    <xf numFmtId="0" fontId="23" fillId="2" borderId="84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horizontal="center" vertical="center" wrapText="1"/>
    </xf>
    <xf numFmtId="0" fontId="26" fillId="2" borderId="0" xfId="4" applyNumberFormat="1" applyFont="1" applyFill="1" applyBorder="1" applyAlignment="1">
      <alignment horizontal="left" vertical="center"/>
    </xf>
    <xf numFmtId="0" fontId="30" fillId="2" borderId="0" xfId="4" applyNumberFormat="1" applyFont="1" applyFill="1" applyBorder="1" applyAlignment="1">
      <alignment horizontal="left" vertical="center" wrapText="1"/>
    </xf>
    <xf numFmtId="0" fontId="30" fillId="4" borderId="56" xfId="4" applyNumberFormat="1" applyFont="1" applyFill="1" applyBorder="1" applyAlignment="1">
      <alignment horizontal="center" vertical="center" wrapText="1"/>
    </xf>
    <xf numFmtId="41" fontId="32" fillId="4" borderId="10" xfId="1" applyFont="1" applyFill="1" applyBorder="1" applyAlignment="1">
      <alignment horizontal="center" vertical="top" wrapText="1"/>
    </xf>
    <xf numFmtId="41" fontId="32" fillId="4" borderId="7" xfId="1" applyFont="1" applyFill="1" applyBorder="1" applyAlignment="1">
      <alignment horizontal="center" vertical="top" wrapText="1"/>
    </xf>
    <xf numFmtId="0" fontId="23" fillId="8" borderId="17" xfId="4" applyNumberFormat="1" applyFont="1" applyFill="1" applyBorder="1" applyAlignment="1">
      <alignment horizontal="center" vertical="top" wrapText="1"/>
    </xf>
    <xf numFmtId="0" fontId="23" fillId="8" borderId="9" xfId="4" applyNumberFormat="1" applyFont="1" applyFill="1" applyBorder="1" applyAlignment="1">
      <alignment horizontal="center" vertical="top" wrapText="1"/>
    </xf>
    <xf numFmtId="0" fontId="23" fillId="8" borderId="40" xfId="4" applyNumberFormat="1" applyFont="1" applyFill="1" applyBorder="1" applyAlignment="1">
      <alignment horizontal="center" vertical="top" wrapText="1"/>
    </xf>
    <xf numFmtId="0" fontId="23" fillId="8" borderId="92" xfId="4" applyNumberFormat="1" applyFont="1" applyFill="1" applyBorder="1" applyAlignment="1">
      <alignment horizontal="center" vertical="center" wrapText="1"/>
    </xf>
    <xf numFmtId="0" fontId="23" fillId="8" borderId="79" xfId="4" applyNumberFormat="1" applyFont="1" applyFill="1" applyBorder="1" applyAlignment="1">
      <alignment horizontal="center" vertical="center" wrapText="1"/>
    </xf>
    <xf numFmtId="0" fontId="30" fillId="2" borderId="18" xfId="4" applyNumberFormat="1" applyFont="1" applyFill="1" applyBorder="1" applyAlignment="1">
      <alignment horizontal="left" vertical="top"/>
    </xf>
    <xf numFmtId="0" fontId="25" fillId="2" borderId="18" xfId="4" applyNumberFormat="1" applyFont="1" applyFill="1" applyBorder="1" applyAlignment="1">
      <alignment horizontal="left" vertical="top"/>
    </xf>
    <xf numFmtId="0" fontId="23" fillId="4" borderId="56" xfId="4" applyNumberFormat="1" applyFont="1" applyFill="1" applyBorder="1" applyAlignment="1">
      <alignment horizontal="center" vertical="top" wrapText="1"/>
    </xf>
    <xf numFmtId="0" fontId="23" fillId="4" borderId="1" xfId="4" applyNumberFormat="1" applyFont="1" applyFill="1" applyBorder="1" applyAlignment="1">
      <alignment horizontal="center" vertical="top" wrapText="1"/>
    </xf>
    <xf numFmtId="177" fontId="32" fillId="4" borderId="14" xfId="1" applyNumberFormat="1" applyFont="1" applyFill="1" applyBorder="1" applyAlignment="1">
      <alignment horizontal="center" vertical="top" wrapText="1"/>
    </xf>
    <xf numFmtId="177" fontId="32" fillId="4" borderId="46" xfId="1" applyNumberFormat="1" applyFont="1" applyFill="1" applyBorder="1" applyAlignment="1">
      <alignment horizontal="center" vertical="top" wrapText="1"/>
    </xf>
    <xf numFmtId="0" fontId="23" fillId="8" borderId="17" xfId="4" applyNumberFormat="1" applyFont="1" applyFill="1" applyBorder="1" applyAlignment="1">
      <alignment horizontal="center" vertical="center" wrapText="1"/>
    </xf>
    <xf numFmtId="0" fontId="23" fillId="8" borderId="40" xfId="4" applyNumberFormat="1" applyFont="1" applyFill="1" applyBorder="1" applyAlignment="1">
      <alignment horizontal="center" vertical="center" wrapText="1"/>
    </xf>
    <xf numFmtId="0" fontId="23" fillId="4" borderId="2" xfId="4" applyNumberFormat="1" applyFont="1" applyFill="1" applyBorder="1" applyAlignment="1">
      <alignment horizontal="center" vertical="center" wrapText="1"/>
    </xf>
    <xf numFmtId="41" fontId="32" fillId="4" borderId="141" xfId="1" applyFont="1" applyFill="1" applyBorder="1" applyAlignment="1">
      <alignment horizontal="center" vertical="center" wrapText="1"/>
    </xf>
    <xf numFmtId="41" fontId="32" fillId="4" borderId="52" xfId="1" applyFont="1" applyFill="1" applyBorder="1" applyAlignment="1">
      <alignment horizontal="center" vertical="center" wrapText="1"/>
    </xf>
    <xf numFmtId="0" fontId="23" fillId="8" borderId="78" xfId="4" applyNumberFormat="1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left" vertical="top"/>
    </xf>
    <xf numFmtId="0" fontId="6" fillId="2" borderId="62" xfId="0" applyFont="1" applyFill="1" applyBorder="1" applyAlignment="1">
      <alignment horizontal="left" vertical="top"/>
    </xf>
    <xf numFmtId="0" fontId="6" fillId="2" borderId="69" xfId="0" applyFont="1" applyFill="1" applyBorder="1" applyAlignment="1">
      <alignment horizontal="left" vertical="top"/>
    </xf>
    <xf numFmtId="0" fontId="6" fillId="2" borderId="67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/>
    </xf>
    <xf numFmtId="0" fontId="6" fillId="2" borderId="49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8" borderId="78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8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left" vertical="top" wrapText="1"/>
    </xf>
    <xf numFmtId="0" fontId="45" fillId="2" borderId="0" xfId="4" applyNumberFormat="1" applyFont="1" applyFill="1" applyBorder="1" applyAlignment="1">
      <alignment horizontal="left" vertical="center" wrapText="1"/>
    </xf>
    <xf numFmtId="0" fontId="6" fillId="2" borderId="74" xfId="0" applyFont="1" applyFill="1" applyBorder="1" applyAlignment="1">
      <alignment horizontal="left" vertical="top"/>
    </xf>
    <xf numFmtId="0" fontId="6" fillId="2" borderId="67" xfId="0" applyFont="1" applyFill="1" applyBorder="1" applyAlignment="1">
      <alignment horizontal="left" vertical="top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2" borderId="90" xfId="0" applyFont="1" applyFill="1" applyBorder="1" applyAlignment="1">
      <alignment horizontal="center" vertical="top"/>
    </xf>
    <xf numFmtId="0" fontId="6" fillId="2" borderId="91" xfId="0" applyFont="1" applyFill="1" applyBorder="1" applyAlignment="1">
      <alignment horizontal="center" vertical="top"/>
    </xf>
    <xf numFmtId="0" fontId="7" fillId="2" borderId="68" xfId="0" applyFont="1" applyFill="1" applyBorder="1" applyAlignment="1">
      <alignment horizontal="left" vertical="top" wrapText="1"/>
    </xf>
    <xf numFmtId="0" fontId="6" fillId="2" borderId="50" xfId="0" applyFont="1" applyFill="1" applyBorder="1" applyAlignment="1">
      <alignment horizontal="left" vertical="top"/>
    </xf>
    <xf numFmtId="0" fontId="6" fillId="2" borderId="40" xfId="0" applyFont="1" applyFill="1" applyBorder="1" applyAlignment="1">
      <alignment horizontal="left" vertical="top"/>
    </xf>
    <xf numFmtId="0" fontId="6" fillId="2" borderId="8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65" xfId="0" applyFont="1" applyFill="1" applyBorder="1" applyAlignment="1">
      <alignment horizontal="center" vertical="top" wrapText="1"/>
    </xf>
    <xf numFmtId="0" fontId="6" fillId="4" borderId="78" xfId="0" applyFont="1" applyFill="1" applyBorder="1" applyAlignment="1">
      <alignment horizontal="center" vertical="top"/>
    </xf>
    <xf numFmtId="0" fontId="6" fillId="4" borderId="18" xfId="0" applyFont="1" applyFill="1" applyBorder="1" applyAlignment="1">
      <alignment horizontal="center" vertical="top"/>
    </xf>
    <xf numFmtId="0" fontId="6" fillId="4" borderId="88" xfId="0" applyFont="1" applyFill="1" applyBorder="1" applyAlignment="1">
      <alignment horizontal="center" vertical="top"/>
    </xf>
    <xf numFmtId="0" fontId="6" fillId="2" borderId="86" xfId="0" applyFont="1" applyFill="1" applyBorder="1" applyAlignment="1">
      <alignment horizontal="center" vertical="top"/>
    </xf>
    <xf numFmtId="0" fontId="6" fillId="2" borderId="88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89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9" fontId="32" fillId="4" borderId="68" xfId="1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top"/>
    </xf>
    <xf numFmtId="176" fontId="18" fillId="0" borderId="11" xfId="4" applyNumberFormat="1" applyFont="1" applyFill="1" applyBorder="1" applyAlignment="1">
      <alignment horizontal="left" vertical="top" wrapText="1"/>
    </xf>
    <xf numFmtId="176" fontId="18" fillId="0" borderId="72" xfId="4" applyNumberFormat="1" applyFont="1" applyFill="1" applyBorder="1" applyAlignment="1">
      <alignment horizontal="left" vertical="top" wrapText="1"/>
    </xf>
    <xf numFmtId="0" fontId="20" fillId="2" borderId="84" xfId="4" applyNumberFormat="1" applyFont="1" applyFill="1" applyBorder="1" applyAlignment="1">
      <alignment horizontal="center" vertical="top" wrapText="1"/>
    </xf>
    <xf numFmtId="0" fontId="20" fillId="2" borderId="5" xfId="4" applyNumberFormat="1" applyFont="1" applyFill="1" applyBorder="1" applyAlignment="1">
      <alignment horizontal="center" vertical="top" wrapText="1"/>
    </xf>
    <xf numFmtId="0" fontId="20" fillId="2" borderId="7" xfId="4" applyNumberFormat="1" applyFont="1" applyFill="1" applyBorder="1" applyAlignment="1">
      <alignment horizontal="center" vertical="top" wrapText="1"/>
    </xf>
    <xf numFmtId="176" fontId="13" fillId="0" borderId="68" xfId="4" applyNumberFormat="1" applyFont="1" applyFill="1" applyBorder="1" applyAlignment="1">
      <alignment horizontal="left" vertical="top"/>
    </xf>
    <xf numFmtId="176" fontId="13" fillId="0" borderId="73" xfId="4" applyNumberFormat="1" applyFont="1" applyFill="1" applyBorder="1" applyAlignment="1">
      <alignment horizontal="left" vertical="top"/>
    </xf>
    <xf numFmtId="176" fontId="13" fillId="0" borderId="68" xfId="4" applyNumberFormat="1" applyFont="1" applyFill="1" applyBorder="1" applyAlignment="1">
      <alignment horizontal="left" vertical="top" wrapText="1"/>
    </xf>
    <xf numFmtId="176" fontId="13" fillId="0" borderId="65" xfId="4" applyNumberFormat="1" applyFont="1" applyFill="1" applyBorder="1" applyAlignment="1">
      <alignment horizontal="left" vertical="top" wrapText="1"/>
    </xf>
    <xf numFmtId="176" fontId="13" fillId="0" borderId="73" xfId="4" applyNumberFormat="1" applyFont="1" applyFill="1" applyBorder="1" applyAlignment="1">
      <alignment horizontal="left" vertical="top" wrapText="1"/>
    </xf>
    <xf numFmtId="176" fontId="13" fillId="0" borderId="63" xfId="4" applyNumberFormat="1" applyFont="1" applyFill="1" applyBorder="1" applyAlignment="1">
      <alignment horizontal="left" vertical="top" wrapText="1"/>
    </xf>
    <xf numFmtId="176" fontId="18" fillId="4" borderId="92" xfId="4" applyNumberFormat="1" applyFont="1" applyFill="1" applyBorder="1" applyAlignment="1">
      <alignment horizontal="center" vertical="center" wrapText="1"/>
    </xf>
    <xf numFmtId="176" fontId="18" fillId="4" borderId="7" xfId="4" applyNumberFormat="1" applyFont="1" applyFill="1" applyBorder="1" applyAlignment="1">
      <alignment horizontal="center" vertical="center" wrapText="1"/>
    </xf>
    <xf numFmtId="176" fontId="18" fillId="3" borderId="78" xfId="4" applyNumberFormat="1" applyFont="1" applyFill="1" applyBorder="1" applyAlignment="1">
      <alignment horizontal="left" vertical="center"/>
    </xf>
    <xf numFmtId="176" fontId="21" fillId="3" borderId="18" xfId="4" applyNumberFormat="1" applyFont="1" applyFill="1" applyBorder="1" applyAlignment="1">
      <alignment horizontal="left" vertical="center"/>
    </xf>
    <xf numFmtId="176" fontId="18" fillId="4" borderId="56" xfId="4" applyNumberFormat="1" applyFont="1" applyFill="1" applyBorder="1" applyAlignment="1">
      <alignment horizontal="center" vertical="center" wrapText="1"/>
    </xf>
    <xf numFmtId="176" fontId="18" fillId="4" borderId="1" xfId="4" applyNumberFormat="1" applyFont="1" applyFill="1" applyBorder="1" applyAlignment="1">
      <alignment horizontal="center" vertical="center" wrapText="1"/>
    </xf>
    <xf numFmtId="176" fontId="18" fillId="0" borderId="74" xfId="4" applyNumberFormat="1" applyFont="1" applyFill="1" applyBorder="1" applyAlignment="1">
      <alignment horizontal="left" vertical="top" wrapText="1"/>
    </xf>
    <xf numFmtId="176" fontId="18" fillId="0" borderId="62" xfId="4" applyNumberFormat="1" applyFont="1" applyFill="1" applyBorder="1" applyAlignment="1">
      <alignment horizontal="left" vertical="top" wrapText="1"/>
    </xf>
    <xf numFmtId="176" fontId="18" fillId="0" borderId="69" xfId="4" applyNumberFormat="1" applyFont="1" applyFill="1" applyBorder="1" applyAlignment="1">
      <alignment horizontal="left" vertical="top" wrapText="1"/>
    </xf>
    <xf numFmtId="176" fontId="18" fillId="0" borderId="67" xfId="4" applyNumberFormat="1" applyFont="1" applyFill="1" applyBorder="1" applyAlignment="1">
      <alignment horizontal="left" vertical="top" wrapText="1"/>
    </xf>
    <xf numFmtId="176" fontId="18" fillId="0" borderId="80" xfId="4" applyNumberFormat="1" applyFont="1" applyFill="1" applyBorder="1" applyAlignment="1">
      <alignment horizontal="left" vertical="top" wrapText="1"/>
    </xf>
    <xf numFmtId="0" fontId="9" fillId="0" borderId="0" xfId="4" applyNumberFormat="1" applyFont="1" applyFill="1" applyBorder="1" applyAlignment="1">
      <alignment horizontal="center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3" borderId="0" xfId="4" applyNumberFormat="1" applyFont="1" applyFill="1" applyBorder="1" applyAlignment="1">
      <alignment horizontal="left" vertical="center" wrapText="1"/>
    </xf>
    <xf numFmtId="0" fontId="11" fillId="0" borderId="9" xfId="4" applyNumberFormat="1" applyFont="1" applyFill="1" applyBorder="1" applyAlignment="1">
      <alignment horizontal="left" vertical="center"/>
    </xf>
    <xf numFmtId="0" fontId="18" fillId="4" borderId="56" xfId="4" applyNumberFormat="1" applyFont="1" applyFill="1" applyBorder="1" applyAlignment="1">
      <alignment horizontal="center" vertical="center" wrapText="1"/>
    </xf>
    <xf numFmtId="0" fontId="18" fillId="4" borderId="1" xfId="4" applyNumberFormat="1" applyFont="1" applyFill="1" applyBorder="1" applyAlignment="1">
      <alignment horizontal="center" vertical="center" wrapText="1"/>
    </xf>
    <xf numFmtId="177" fontId="32" fillId="4" borderId="22" xfId="1" applyNumberFormat="1" applyFont="1" applyFill="1" applyBorder="1" applyAlignment="1">
      <alignment horizontal="center" vertical="center" wrapText="1"/>
    </xf>
    <xf numFmtId="9" fontId="32" fillId="4" borderId="10" xfId="1" applyNumberFormat="1" applyFont="1" applyFill="1" applyBorder="1" applyAlignment="1">
      <alignment horizontal="center" vertical="center" wrapText="1"/>
    </xf>
    <xf numFmtId="9" fontId="32" fillId="4" borderId="7" xfId="1" applyNumberFormat="1" applyFont="1" applyFill="1" applyBorder="1" applyAlignment="1">
      <alignment horizontal="center" vertical="center" wrapText="1"/>
    </xf>
    <xf numFmtId="0" fontId="6" fillId="0" borderId="7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4" fillId="2" borderId="73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0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/>
    </xf>
    <xf numFmtId="0" fontId="30" fillId="2" borderId="15" xfId="4" applyNumberFormat="1" applyFont="1" applyFill="1" applyBorder="1" applyAlignment="1">
      <alignment horizontal="left" vertical="center" wrapText="1"/>
    </xf>
    <xf numFmtId="0" fontId="30" fillId="2" borderId="16" xfId="4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top"/>
    </xf>
    <xf numFmtId="0" fontId="7" fillId="2" borderId="15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 vertical="top"/>
    </xf>
    <xf numFmtId="0" fontId="6" fillId="2" borderId="8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left" wrapText="1"/>
    </xf>
    <xf numFmtId="0" fontId="6" fillId="2" borderId="62" xfId="0" applyFont="1" applyFill="1" applyBorder="1" applyAlignment="1">
      <alignment horizontal="left" wrapText="1"/>
    </xf>
    <xf numFmtId="0" fontId="6" fillId="2" borderId="67" xfId="0" applyFont="1" applyFill="1" applyBorder="1" applyAlignment="1">
      <alignment horizontal="left" wrapText="1"/>
    </xf>
    <xf numFmtId="0" fontId="7" fillId="2" borderId="73" xfId="0" applyFont="1" applyFill="1" applyBorder="1" applyAlignment="1">
      <alignment horizontal="left" wrapText="1"/>
    </xf>
    <xf numFmtId="0" fontId="7" fillId="2" borderId="63" xfId="0" applyFont="1" applyFill="1" applyBorder="1" applyAlignment="1">
      <alignment horizontal="left" wrapText="1"/>
    </xf>
    <xf numFmtId="0" fontId="6" fillId="2" borderId="80" xfId="0" applyFont="1" applyFill="1" applyBorder="1" applyAlignment="1">
      <alignment horizontal="left"/>
    </xf>
    <xf numFmtId="0" fontId="6" fillId="2" borderId="72" xfId="0" applyFont="1" applyFill="1" applyBorder="1" applyAlignment="1">
      <alignment horizontal="left"/>
    </xf>
    <xf numFmtId="0" fontId="6" fillId="2" borderId="56" xfId="0" applyFont="1" applyFill="1" applyBorder="1" applyAlignment="1">
      <alignment horizontal="left"/>
    </xf>
    <xf numFmtId="0" fontId="6" fillId="2" borderId="62" xfId="0" applyFont="1" applyFill="1" applyBorder="1" applyAlignment="1">
      <alignment horizontal="left"/>
    </xf>
    <xf numFmtId="0" fontId="6" fillId="2" borderId="69" xfId="0" applyFont="1" applyFill="1" applyBorder="1" applyAlignment="1">
      <alignment horizontal="left"/>
    </xf>
    <xf numFmtId="0" fontId="6" fillId="2" borderId="7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 wrapText="1"/>
    </xf>
    <xf numFmtId="0" fontId="6" fillId="2" borderId="80" xfId="0" applyFont="1" applyFill="1" applyBorder="1" applyAlignment="1">
      <alignment horizontal="left" wrapText="1"/>
    </xf>
    <xf numFmtId="0" fontId="6" fillId="2" borderId="72" xfId="0" applyFont="1" applyFill="1" applyBorder="1" applyAlignment="1">
      <alignment horizontal="left" wrapText="1"/>
    </xf>
    <xf numFmtId="0" fontId="30" fillId="2" borderId="0" xfId="4" applyFont="1" applyFill="1" applyBorder="1" applyAlignment="1">
      <alignment horizontal="left" vertical="center" wrapText="1"/>
    </xf>
  </cellXfs>
  <cellStyles count="22">
    <cellStyle name="쉼표 [0]" xfId="1" builtinId="6"/>
    <cellStyle name="쉼표 [0] 2" xfId="5"/>
    <cellStyle name="쉼표 [0] 2 2" xfId="17"/>
    <cellStyle name="쉼표 [0] 3" xfId="11"/>
    <cellStyle name="쉼표 [0] 3 2" xfId="21"/>
    <cellStyle name="쉼표 [0] 4" xfId="2"/>
    <cellStyle name="쉼표 [0] 4 2" xfId="16"/>
    <cellStyle name="쉼표 [0] 4 47" xfId="9"/>
    <cellStyle name="쉼표 [0] 4 47 2" xfId="19"/>
    <cellStyle name="쉼표 [0] 5" xfId="7"/>
    <cellStyle name="쉼표 [0] 5 2" xfId="18"/>
    <cellStyle name="쉼표 [0] 6" xfId="10"/>
    <cellStyle name="쉼표 [0] 6 2" xfId="20"/>
    <cellStyle name="쉼표 [0] 7" xfId="15"/>
    <cellStyle name="표준" xfId="0" builtinId="0"/>
    <cellStyle name="표준 10" xfId="6"/>
    <cellStyle name="표준 2" xfId="4"/>
    <cellStyle name="표준 2 2" xfId="12"/>
    <cellStyle name="표준 3" xfId="3"/>
    <cellStyle name="표준 3 2" xfId="13"/>
    <cellStyle name="표준 4" xfId="14"/>
    <cellStyle name="표준 5" xfId="8"/>
  </cellStyles>
  <dxfs count="0"/>
  <tableStyles count="0" defaultTableStyle="TableStyleMedium2" defaultPivotStyle="PivotStyleLight16"/>
  <colors>
    <mruColors>
      <color rgb="FFFF9999"/>
      <color rgb="FFFF9966"/>
      <color rgb="FFFF9933"/>
      <color rgb="FFCCECFF"/>
      <color rgb="FF66FF33"/>
      <color rgb="FF666699"/>
      <color rgb="FF990099"/>
      <color rgb="FF800080"/>
      <color rgb="FF660066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52572;&#51648;&#50689;\Downloads\(&#54869;&#51064;&#50857;)&#52392;&#48512;2.%202024&#45380;%20YWCA&#48373;&#51648;&#49324;&#50629;&#45800;%20&#52628;&#44221;&#50696;&#49328;(&#50504;)%20&#49464;&#48512;&#45236;&#50669;%20&#52509;&#44292;&#54364;_20241213(1)_&#51076;&#51652;&#50689;&#49688;&#512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&#9733;&#9733;YWCA_&#48373;&#51648;&#49324;&#50629;&#45800;(20190301&#51060;&#54980;)&#9733;&#9733;/4.%20&#48277;&#51064;&#54665;&#51221;&#49324;&#47924;/1.%20&#51060;&#49324;&#54924;/&#9733;&#9733;&#54924;&#51032;&#51088;&#47308;&#9733;&#9733;/2024/&#51076;&#49884;&#51060;&#49324;&#54924;/&#51228;3&#52264;%20&#51076;&#49884;&#51060;&#49324;&#54924;(20240925)/&#51008;&#54617;&#51032;&#51665;/(&#51008;&#54617;&#51032;&#51665;)%202024&#45380;%20&#52628;&#44221;&#50696;&#49328;(&#50504;)%20&#49464;&#48512;&#45236;&#50669;%20&#52509;&#44292;&#54364;(&#52572;&#49688;&#5122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년 추경예산(안) 지부별총괄표"/>
      <sheetName val="총괄표(세입.세출)"/>
      <sheetName val="1. 본부사무국"/>
      <sheetName val="2.서울지부"/>
      <sheetName val="3.부산지부"/>
      <sheetName val="4. 서울Y 봉천종합사회복지관"/>
      <sheetName val="5. 강서종합사회복지관(총괄)"/>
      <sheetName val="5-1. 강서종합사회복지관"/>
      <sheetName val="5-2.강서종합사회복지관(재가노인지원서비스)"/>
      <sheetName val="5-3.강서구종합사회복지관(강서지역아동센터)"/>
      <sheetName val="5-4.강서구종합사회복지관(청소년지원센터)"/>
      <sheetName val="5-5.강서구종합사회복지관(자원봉사센터)"/>
      <sheetName val="5-6.강서구종합사회복지관(발달재활서비스)"/>
      <sheetName val="5-7.강서구종합사회복지관(심리치유서비스)"/>
      <sheetName val="6.강서구지역자활센터(장기요양사업)"/>
      <sheetName val="7. 강서구어린이집"/>
      <sheetName val="8.은학의집(총괄)"/>
      <sheetName val="8-1.은학의집(재가복지)"/>
      <sheetName val="8-2은학의집(요양시설)"/>
      <sheetName val="9.울산씨밀레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8">
          <cell r="E48">
            <v>1565406849</v>
          </cell>
        </row>
      </sheetData>
      <sheetData sheetId="8">
        <row r="48">
          <cell r="E48">
            <v>151239356</v>
          </cell>
        </row>
      </sheetData>
      <sheetData sheetId="9">
        <row r="48">
          <cell r="E48">
            <v>238108921</v>
          </cell>
        </row>
      </sheetData>
      <sheetData sheetId="10">
        <row r="48">
          <cell r="E48">
            <v>86707655</v>
          </cell>
        </row>
      </sheetData>
      <sheetData sheetId="11">
        <row r="48">
          <cell r="E48">
            <v>309011273</v>
          </cell>
        </row>
      </sheetData>
      <sheetData sheetId="12">
        <row r="48">
          <cell r="E48">
            <v>138904430</v>
          </cell>
        </row>
      </sheetData>
      <sheetData sheetId="13">
        <row r="48">
          <cell r="E48">
            <v>3058046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년 추경예산(안) 지부별총괄표"/>
      <sheetName val="총괄표(세입.세출)"/>
      <sheetName val="1. 본부사무국"/>
      <sheetName val="2.서울지부"/>
      <sheetName val="3.부산지부"/>
      <sheetName val="4. 서울Y 봉천종합사회복지관"/>
      <sheetName val="5.서울Y누리봄"/>
      <sheetName val="6. 강서종합사회복지관(총괄)"/>
      <sheetName val="6-1. 강서종합사회복지관"/>
      <sheetName val="6-2.강서종합사회복지관(재가노인지원서비스)"/>
      <sheetName val="6-3.강서구종합사회복지관(강서지역아동센터)"/>
      <sheetName val="6-4.강서구종합사회복지관(청소년지원센터)"/>
      <sheetName val="6-5.강서구종합사회복지관(자원봉사센터)"/>
      <sheetName val="6-6.강서구종합사회복지관(발달재활서비스)"/>
      <sheetName val="6-7.강서구종합사회복지관(심리치유서비스)"/>
      <sheetName val="7. 강서구어린이집"/>
      <sheetName val="8.강서구지역자활센터(장기요양사업)"/>
      <sheetName val="9.은학의집(총괄)"/>
      <sheetName val="9-1.은학의집(재가복지)"/>
      <sheetName val="9-2은학의집(요양시설)"/>
      <sheetName val="9.울산씨밀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D9">
            <v>202547448</v>
          </cell>
        </row>
        <row r="115">
          <cell r="E115">
            <v>0</v>
          </cell>
        </row>
        <row r="116">
          <cell r="E116">
            <v>0</v>
          </cell>
        </row>
      </sheetData>
      <sheetData sheetId="19">
        <row r="9">
          <cell r="D9">
            <v>136347840</v>
          </cell>
        </row>
        <row r="115">
          <cell r="E115">
            <v>0</v>
          </cell>
        </row>
        <row r="116">
          <cell r="E116">
            <v>0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opLeftCell="A12" zoomScale="115" zoomScaleNormal="115" workbookViewId="0">
      <selection sqref="A1:H24"/>
    </sheetView>
  </sheetViews>
  <sheetFormatPr defaultRowHeight="16.5" x14ac:dyDescent="0.3"/>
  <cols>
    <col min="1" max="1" width="4.125" customWidth="1"/>
    <col min="2" max="2" width="26.875" customWidth="1"/>
    <col min="3" max="3" width="18.25" customWidth="1"/>
    <col min="4" max="4" width="18.375" customWidth="1"/>
    <col min="5" max="5" width="20.875" customWidth="1"/>
    <col min="6" max="6" width="19.25" customWidth="1"/>
    <col min="7" max="7" width="10.625" customWidth="1"/>
    <col min="8" max="8" width="39.75" customWidth="1"/>
    <col min="9" max="9" width="12" bestFit="1" customWidth="1"/>
  </cols>
  <sheetData>
    <row r="1" spans="1:9" x14ac:dyDescent="0.3">
      <c r="A1" s="1227"/>
      <c r="B1" s="1227"/>
      <c r="C1" s="1227"/>
      <c r="D1" s="1227"/>
      <c r="E1" s="1227"/>
      <c r="F1" s="1227"/>
      <c r="G1" s="1227"/>
      <c r="H1" s="1227"/>
    </row>
    <row r="2" spans="1:9" ht="26.25" x14ac:dyDescent="0.3">
      <c r="A2" s="1232" t="s">
        <v>60</v>
      </c>
      <c r="B2" s="1232"/>
      <c r="C2" s="1232"/>
      <c r="D2" s="1232"/>
      <c r="E2" s="1232"/>
      <c r="F2" s="1232"/>
      <c r="G2" s="1232"/>
      <c r="H2" s="1232"/>
    </row>
    <row r="3" spans="1:9" ht="33.75" x14ac:dyDescent="0.3">
      <c r="A3" s="1230" t="s">
        <v>238</v>
      </c>
      <c r="B3" s="1230"/>
      <c r="C3" s="1230"/>
      <c r="D3" s="1230"/>
      <c r="E3" s="1230"/>
      <c r="F3" s="1230"/>
      <c r="G3" s="1230"/>
      <c r="H3" s="1230"/>
    </row>
    <row r="4" spans="1:9" ht="17.25" thickBot="1" x14ac:dyDescent="0.35">
      <c r="A4" s="1231" t="s">
        <v>656</v>
      </c>
      <c r="B4" s="1231"/>
      <c r="C4" s="1231"/>
      <c r="D4" s="1231"/>
      <c r="E4" s="1231"/>
      <c r="F4" s="1231"/>
      <c r="G4" s="1231"/>
      <c r="H4" s="1231"/>
    </row>
    <row r="5" spans="1:9" ht="36" customHeight="1" thickBot="1" x14ac:dyDescent="0.35">
      <c r="A5" s="100" t="s">
        <v>44</v>
      </c>
      <c r="B5" s="54" t="s">
        <v>45</v>
      </c>
      <c r="C5" s="54" t="s">
        <v>46</v>
      </c>
      <c r="D5" s="202" t="s">
        <v>398</v>
      </c>
      <c r="E5" s="202" t="s">
        <v>47</v>
      </c>
      <c r="F5" s="54" t="s">
        <v>48</v>
      </c>
      <c r="G5" s="54" t="s">
        <v>49</v>
      </c>
      <c r="H5" s="55" t="s">
        <v>50</v>
      </c>
    </row>
    <row r="6" spans="1:9" ht="36" customHeight="1" x14ac:dyDescent="0.3">
      <c r="A6" s="101">
        <v>1</v>
      </c>
      <c r="B6" s="52" t="s">
        <v>51</v>
      </c>
      <c r="C6" s="1038">
        <f>'1. 본부사무국'!D51</f>
        <v>94383037</v>
      </c>
      <c r="D6" s="1038">
        <f>'1. 본부사무국'!E23</f>
        <v>68422734</v>
      </c>
      <c r="E6" s="1038">
        <f>'1. 본부사무국'!F23</f>
        <v>94383037</v>
      </c>
      <c r="F6" s="1038">
        <f>E6-C6</f>
        <v>0</v>
      </c>
      <c r="G6" s="1039">
        <f>F6/C6*100%</f>
        <v>0</v>
      </c>
      <c r="H6" s="755"/>
    </row>
    <row r="7" spans="1:9" ht="24.75" customHeight="1" x14ac:dyDescent="0.3">
      <c r="A7" s="102">
        <v>2</v>
      </c>
      <c r="B7" s="51" t="s">
        <v>52</v>
      </c>
      <c r="C7" s="471">
        <f>'2.서울지부'!D51</f>
        <v>10200000</v>
      </c>
      <c r="D7" s="471">
        <f>'2.서울지부'!E23</f>
        <v>1358913</v>
      </c>
      <c r="E7" s="471">
        <f>'2.서울지부'!F23</f>
        <v>9800000</v>
      </c>
      <c r="F7" s="956">
        <f>'2.서울지부'!G23</f>
        <v>-400000</v>
      </c>
      <c r="G7" s="472">
        <f>'2.서울지부'!H23</f>
        <v>-3.9215686274509803E-2</v>
      </c>
      <c r="H7" s="53" t="s">
        <v>744</v>
      </c>
    </row>
    <row r="8" spans="1:9" ht="24.75" customHeight="1" x14ac:dyDescent="0.3">
      <c r="A8" s="102">
        <v>3</v>
      </c>
      <c r="B8" s="51" t="s">
        <v>53</v>
      </c>
      <c r="C8" s="471">
        <f>'3.부산지부'!D51</f>
        <v>45240000</v>
      </c>
      <c r="D8" s="471">
        <f>'3.부산지부'!E23</f>
        <v>44092586</v>
      </c>
      <c r="E8" s="471">
        <f>'3.부산지부'!F23</f>
        <v>47510020</v>
      </c>
      <c r="F8" s="470">
        <f>'3.부산지부'!G23</f>
        <v>2270020</v>
      </c>
      <c r="G8" s="472">
        <f>'3.부산지부'!H23</f>
        <v>5.0177276746242262E-2</v>
      </c>
      <c r="H8" s="961" t="s">
        <v>741</v>
      </c>
    </row>
    <row r="9" spans="1:9" ht="24.75" customHeight="1" thickBot="1" x14ac:dyDescent="0.35">
      <c r="A9" s="1233" t="s">
        <v>54</v>
      </c>
      <c r="B9" s="1234"/>
      <c r="C9" s="504">
        <f>SUM(C6:C8)</f>
        <v>149823037</v>
      </c>
      <c r="D9" s="504">
        <f>SUM(D6:D8)</f>
        <v>113874233</v>
      </c>
      <c r="E9" s="504">
        <f>SUM(E6:E8)</f>
        <v>151693057</v>
      </c>
      <c r="F9" s="505">
        <f>F7+F8</f>
        <v>1870020</v>
      </c>
      <c r="G9" s="506">
        <f>F9/C9*100%</f>
        <v>1.2481525120866427E-2</v>
      </c>
      <c r="H9" s="380"/>
    </row>
    <row r="10" spans="1:9" ht="24.75" customHeight="1" thickBot="1" x14ac:dyDescent="0.35">
      <c r="A10" s="381">
        <v>4</v>
      </c>
      <c r="B10" s="382" t="s">
        <v>55</v>
      </c>
      <c r="C10" s="473">
        <f>'4. 서울Y 봉천종합사회복지관'!D119</f>
        <v>2160000000</v>
      </c>
      <c r="D10" s="473">
        <f>'4. 서울Y 봉천종합사회복지관'!E49</f>
        <v>2147919191</v>
      </c>
      <c r="E10" s="473">
        <f>'4. 서울Y 봉천종합사회복지관'!F119</f>
        <v>2238000000</v>
      </c>
      <c r="F10" s="473">
        <f>'4. 서울Y 봉천종합사회복지관'!G49</f>
        <v>78000000</v>
      </c>
      <c r="G10" s="503">
        <f>F10/C10*100%</f>
        <v>3.6111111111111108E-2</v>
      </c>
      <c r="H10" s="383" t="s">
        <v>741</v>
      </c>
    </row>
    <row r="11" spans="1:9" ht="24.75" customHeight="1" x14ac:dyDescent="0.3">
      <c r="A11" s="1237">
        <v>5</v>
      </c>
      <c r="B11" s="379" t="s">
        <v>311</v>
      </c>
      <c r="C11" s="958">
        <f>'5-1. 강서종합사회복지관'!D112</f>
        <v>1693150000</v>
      </c>
      <c r="D11" s="958">
        <f>'[1]5-1. 강서종합사회복지관'!E48</f>
        <v>1565406849</v>
      </c>
      <c r="E11" s="958">
        <f>'5-1. 강서종합사회복지관'!F112</f>
        <v>1634463000</v>
      </c>
      <c r="F11" s="956">
        <f>E11-C11</f>
        <v>-58687000</v>
      </c>
      <c r="G11" s="472">
        <f>F11/C11*100%</f>
        <v>-3.4661429879219205E-2</v>
      </c>
      <c r="H11" s="1239"/>
    </row>
    <row r="12" spans="1:9" ht="24.75" customHeight="1" x14ac:dyDescent="0.3">
      <c r="A12" s="1237"/>
      <c r="B12" s="103" t="s">
        <v>312</v>
      </c>
      <c r="C12" s="958">
        <f>'5-2.강서종합사회복지관(재가노인지원서비스)'!D112</f>
        <v>155806000</v>
      </c>
      <c r="D12" s="958">
        <f>'[1]5-2.강서종합사회복지관(재가노인지원서비스)'!E48</f>
        <v>151239356</v>
      </c>
      <c r="E12" s="958">
        <f>'5-2.강서종합사회복지관(재가노인지원서비스)'!F112</f>
        <v>151258000</v>
      </c>
      <c r="F12" s="956">
        <f t="shared" ref="F12:F17" si="0">E12-C12</f>
        <v>-4548000</v>
      </c>
      <c r="G12" s="472">
        <f t="shared" ref="G12:G17" si="1">F12/C12*100%</f>
        <v>-2.9190146720922173E-2</v>
      </c>
      <c r="H12" s="1240"/>
    </row>
    <row r="13" spans="1:9" ht="24.75" customHeight="1" x14ac:dyDescent="0.3">
      <c r="A13" s="1237"/>
      <c r="B13" s="103" t="s">
        <v>313</v>
      </c>
      <c r="C13" s="959">
        <f>'5-3.강서구종합사회복지관(강서지역아동센터)'!D112</f>
        <v>253268000</v>
      </c>
      <c r="D13" s="959">
        <f>'[1]5-3.강서구종합사회복지관(강서지역아동센터)'!E48</f>
        <v>238108921</v>
      </c>
      <c r="E13" s="959">
        <f>'5-3.강서구종합사회복지관(강서지역아동센터)'!F112</f>
        <v>247450000</v>
      </c>
      <c r="F13" s="956">
        <f t="shared" si="0"/>
        <v>-5818000</v>
      </c>
      <c r="G13" s="472">
        <f t="shared" si="1"/>
        <v>-2.2971713757758579E-2</v>
      </c>
      <c r="H13" s="1240"/>
    </row>
    <row r="14" spans="1:9" ht="24.75" customHeight="1" x14ac:dyDescent="0.3">
      <c r="A14" s="1237"/>
      <c r="B14" s="103" t="s">
        <v>314</v>
      </c>
      <c r="C14" s="959">
        <f>'5-5.강서구종합사회복지관(자원봉사센터)'!D112</f>
        <v>320870000</v>
      </c>
      <c r="D14" s="959">
        <f>'[1]5-5.강서구종합사회복지관(자원봉사센터)'!E48</f>
        <v>309011273</v>
      </c>
      <c r="E14" s="959">
        <f>'5-5.강서구종합사회복지관(자원봉사센터)'!F112</f>
        <v>316288000</v>
      </c>
      <c r="F14" s="956">
        <f t="shared" si="0"/>
        <v>-4582000</v>
      </c>
      <c r="G14" s="472">
        <f t="shared" si="1"/>
        <v>-1.427992644996416E-2</v>
      </c>
      <c r="H14" s="1240"/>
      <c r="I14" s="50"/>
    </row>
    <row r="15" spans="1:9" ht="24.75" customHeight="1" x14ac:dyDescent="0.3">
      <c r="A15" s="1237"/>
      <c r="B15" s="103" t="s">
        <v>315</v>
      </c>
      <c r="C15" s="471">
        <f>'5-4.강서구종합사회복지관(청소년지원센터)'!D112</f>
        <v>98640000</v>
      </c>
      <c r="D15" s="471">
        <f>'[1]5-4.강서구종합사회복지관(청소년지원센터)'!E48</f>
        <v>86707655</v>
      </c>
      <c r="E15" s="471">
        <f>'5-4.강서구종합사회복지관(청소년지원센터)'!F112</f>
        <v>98640000</v>
      </c>
      <c r="F15" s="470">
        <f t="shared" si="0"/>
        <v>0</v>
      </c>
      <c r="G15" s="472">
        <f t="shared" si="1"/>
        <v>0</v>
      </c>
      <c r="H15" s="1240"/>
    </row>
    <row r="16" spans="1:9" ht="24.75" customHeight="1" x14ac:dyDescent="0.3">
      <c r="A16" s="1237"/>
      <c r="B16" s="103" t="s">
        <v>316</v>
      </c>
      <c r="C16" s="471">
        <f>'5-6.강서구종합사회복지관(발달재활서비스)'!D112</f>
        <v>160828000</v>
      </c>
      <c r="D16" s="471">
        <f>'[1]5-6.강서구종합사회복지관(발달재활서비스)'!E48</f>
        <v>138904430</v>
      </c>
      <c r="E16" s="471">
        <f>'5-6.강서구종합사회복지관(발달재활서비스)'!F112</f>
        <v>149248000</v>
      </c>
      <c r="F16" s="956">
        <f t="shared" si="0"/>
        <v>-11580000</v>
      </c>
      <c r="G16" s="472">
        <f t="shared" si="1"/>
        <v>-7.2002387643942595E-2</v>
      </c>
      <c r="H16" s="1240"/>
    </row>
    <row r="17" spans="1:8" ht="24.75" customHeight="1" x14ac:dyDescent="0.3">
      <c r="A17" s="1237"/>
      <c r="B17" s="103" t="s">
        <v>317</v>
      </c>
      <c r="C17" s="471">
        <f>'5-7.강서구종합사회복지관(심리치유서비스)'!D112</f>
        <v>7481000</v>
      </c>
      <c r="D17" s="471">
        <f>'[1]5-7.강서구종합사회복지관(심리치유서비스)'!E48</f>
        <v>3058046</v>
      </c>
      <c r="E17" s="471">
        <f>'5-7.강서구종합사회복지관(심리치유서비스)'!F112</f>
        <v>3060000</v>
      </c>
      <c r="F17" s="956">
        <f t="shared" si="0"/>
        <v>-4421000</v>
      </c>
      <c r="G17" s="472">
        <f t="shared" si="1"/>
        <v>-0.59096377489640417</v>
      </c>
      <c r="H17" s="1241"/>
    </row>
    <row r="18" spans="1:8" ht="24.75" customHeight="1" thickBot="1" x14ac:dyDescent="0.35">
      <c r="A18" s="1238"/>
      <c r="B18" s="377" t="s">
        <v>56</v>
      </c>
      <c r="C18" s="740">
        <f>SUM(C11:C17)</f>
        <v>2690043000</v>
      </c>
      <c r="D18" s="740">
        <f t="shared" ref="D18:E18" si="2">SUM(D11:D17)</f>
        <v>2492436530</v>
      </c>
      <c r="E18" s="740">
        <f t="shared" si="2"/>
        <v>2600407000</v>
      </c>
      <c r="F18" s="957">
        <f>E18-C18</f>
        <v>-89636000</v>
      </c>
      <c r="G18" s="741">
        <f>F18/C18*100%</f>
        <v>-3.3321400438580347E-2</v>
      </c>
      <c r="H18" s="378"/>
    </row>
    <row r="19" spans="1:8" ht="40.9" customHeight="1" thickBot="1" x14ac:dyDescent="0.35">
      <c r="A19" s="381">
        <v>6</v>
      </c>
      <c r="B19" s="384" t="s">
        <v>116</v>
      </c>
      <c r="C19" s="1076">
        <f>'6.강서구지역자활센터(장기요양사업)'!D49</f>
        <v>1100100000</v>
      </c>
      <c r="D19" s="1076">
        <f>'6.강서구지역자활센터(장기요양사업)'!E49</f>
        <v>882215388</v>
      </c>
      <c r="E19" s="1076">
        <f>C19</f>
        <v>1100100000</v>
      </c>
      <c r="F19" s="1076">
        <f t="shared" ref="F19:F22" si="3">E19-C19</f>
        <v>0</v>
      </c>
      <c r="G19" s="1080">
        <f>F19/C19*100%</f>
        <v>0</v>
      </c>
      <c r="H19" s="385"/>
    </row>
    <row r="20" spans="1:8" ht="24.75" customHeight="1" thickBot="1" x14ac:dyDescent="0.35">
      <c r="A20" s="381">
        <v>7</v>
      </c>
      <c r="B20" s="386" t="s">
        <v>115</v>
      </c>
      <c r="C20" s="1078">
        <f>'총괄표(세입.세출)'!E82</f>
        <v>538290000</v>
      </c>
      <c r="D20" s="1078">
        <f>'총괄표(세입.세출)'!F82</f>
        <v>457342170</v>
      </c>
      <c r="E20" s="1078">
        <f>'총괄표(세입.세출)'!G82</f>
        <v>599810000</v>
      </c>
      <c r="F20" s="1077">
        <f t="shared" si="3"/>
        <v>61520000</v>
      </c>
      <c r="G20" s="1080">
        <f t="shared" ref="G20:G22" si="4">F20/C20*100%</f>
        <v>0.11428783741106095</v>
      </c>
      <c r="H20" s="385" t="s">
        <v>742</v>
      </c>
    </row>
    <row r="21" spans="1:8" ht="24.75" customHeight="1" thickBot="1" x14ac:dyDescent="0.35">
      <c r="A21" s="381">
        <v>8</v>
      </c>
      <c r="B21" s="386" t="s">
        <v>57</v>
      </c>
      <c r="C21" s="1076">
        <f>'8.은학의집(총괄)'!D49</f>
        <v>4649226012</v>
      </c>
      <c r="D21" s="1076">
        <f>'8.은학의집(총괄)'!E49</f>
        <v>4213187048</v>
      </c>
      <c r="E21" s="1077">
        <f>C21</f>
        <v>4649226012</v>
      </c>
      <c r="F21" s="1076">
        <f t="shared" si="3"/>
        <v>0</v>
      </c>
      <c r="G21" s="1080">
        <f t="shared" si="4"/>
        <v>0</v>
      </c>
      <c r="H21" s="385"/>
    </row>
    <row r="22" spans="1:8" ht="24.75" customHeight="1" thickBot="1" x14ac:dyDescent="0.35">
      <c r="A22" s="381">
        <v>9</v>
      </c>
      <c r="B22" s="382" t="s">
        <v>58</v>
      </c>
      <c r="C22" s="1079">
        <f>'9.울산씨밀레'!D49</f>
        <v>406569642</v>
      </c>
      <c r="D22" s="1079">
        <f>'9.울산씨밀레'!E49</f>
        <v>389130842</v>
      </c>
      <c r="E22" s="1079">
        <f>'9.울산씨밀레'!F49</f>
        <v>391642940</v>
      </c>
      <c r="F22" s="1077">
        <f t="shared" si="3"/>
        <v>-14926702</v>
      </c>
      <c r="G22" s="1080">
        <f t="shared" si="4"/>
        <v>-3.6713764280511631E-2</v>
      </c>
      <c r="H22" s="383" t="s">
        <v>743</v>
      </c>
    </row>
    <row r="23" spans="1:8" ht="24.75" customHeight="1" thickBot="1" x14ac:dyDescent="0.35">
      <c r="A23" s="1235" t="s">
        <v>122</v>
      </c>
      <c r="B23" s="1236"/>
      <c r="C23" s="507">
        <f>SUM(C10,C18,C19,C20,C21,C22)</f>
        <v>11544228654</v>
      </c>
      <c r="D23" s="507">
        <f>SUM(D10,D18,D19,D20,D21,D22)</f>
        <v>10582231169</v>
      </c>
      <c r="E23" s="507">
        <f>SUM(E10,E18,E19,E20,E21,E22)</f>
        <v>11579185952</v>
      </c>
      <c r="F23" s="753">
        <f>E23-C23</f>
        <v>34957298</v>
      </c>
      <c r="G23" s="508">
        <f>F23/C23*100%</f>
        <v>3.0281189889536297E-3</v>
      </c>
      <c r="H23" s="388"/>
    </row>
    <row r="24" spans="1:8" ht="24.75" customHeight="1" thickBot="1" x14ac:dyDescent="0.35">
      <c r="A24" s="1228" t="s">
        <v>121</v>
      </c>
      <c r="B24" s="1229"/>
      <c r="C24" s="509">
        <f>C9+C23</f>
        <v>11694051691</v>
      </c>
      <c r="D24" s="509">
        <f>D9+D23</f>
        <v>10696105402</v>
      </c>
      <c r="E24" s="509">
        <f>E9+E23</f>
        <v>11730879009</v>
      </c>
      <c r="F24" s="754">
        <f>E24-C24</f>
        <v>36827318</v>
      </c>
      <c r="G24" s="510">
        <f>F24/C24*100%</f>
        <v>3.1492350960226315E-3</v>
      </c>
      <c r="H24" s="387"/>
    </row>
    <row r="25" spans="1:8" x14ac:dyDescent="0.3">
      <c r="G25" s="58"/>
    </row>
  </sheetData>
  <mergeCells count="9">
    <mergeCell ref="A1:H1"/>
    <mergeCell ref="A24:B24"/>
    <mergeCell ref="A3:H3"/>
    <mergeCell ref="A4:H4"/>
    <mergeCell ref="A2:H2"/>
    <mergeCell ref="A9:B9"/>
    <mergeCell ref="A23:B23"/>
    <mergeCell ref="A11:A18"/>
    <mergeCell ref="H11:H17"/>
  </mergeCells>
  <phoneticPr fontId="2" type="noConversion"/>
  <pageMargins left="0.7" right="0.7" top="0.75" bottom="0.75" header="0.3" footer="0.3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CC"/>
  </sheetPr>
  <dimension ref="A2:I112"/>
  <sheetViews>
    <sheetView topLeftCell="A19" workbookViewId="0">
      <selection activeCell="I107" sqref="I107"/>
    </sheetView>
  </sheetViews>
  <sheetFormatPr defaultRowHeight="16.5" x14ac:dyDescent="0.3"/>
  <cols>
    <col min="1" max="1" width="16" customWidth="1"/>
    <col min="2" max="2" width="14.875" customWidth="1"/>
    <col min="3" max="3" width="22.625" customWidth="1"/>
    <col min="4" max="4" width="18.75" customWidth="1"/>
    <col min="5" max="5" width="18" customWidth="1"/>
    <col min="6" max="6" width="17.875" customWidth="1"/>
    <col min="7" max="7" width="17.75" customWidth="1"/>
    <col min="8" max="8" width="10.25" customWidth="1"/>
    <col min="9" max="9" width="45" customWidth="1"/>
  </cols>
  <sheetData>
    <row r="2" spans="1:9" ht="31.9" customHeight="1" x14ac:dyDescent="0.3">
      <c r="A2" s="1464" t="s">
        <v>226</v>
      </c>
      <c r="B2" s="1465"/>
      <c r="C2" s="1465"/>
      <c r="D2" s="1465"/>
      <c r="E2" s="1465"/>
      <c r="F2" s="1465"/>
      <c r="G2" s="1465"/>
      <c r="H2" s="1465"/>
      <c r="I2" s="1465"/>
    </row>
    <row r="3" spans="1:9" ht="16.5" customHeight="1" x14ac:dyDescent="0.3">
      <c r="A3" s="1472" t="s">
        <v>411</v>
      </c>
      <c r="B3" s="1472"/>
      <c r="C3" s="1472"/>
      <c r="D3" s="1472"/>
      <c r="E3" s="1472"/>
      <c r="F3" s="1472"/>
      <c r="G3" s="1472"/>
      <c r="H3" s="1472"/>
      <c r="I3" s="1472"/>
    </row>
    <row r="4" spans="1:9" ht="16.5" customHeight="1" x14ac:dyDescent="0.3">
      <c r="A4" s="1472"/>
      <c r="B4" s="1472"/>
      <c r="C4" s="1472"/>
      <c r="D4" s="1472"/>
      <c r="E4" s="1472"/>
      <c r="F4" s="1472"/>
      <c r="G4" s="1472"/>
      <c r="H4" s="1472"/>
      <c r="I4" s="1472"/>
    </row>
    <row r="5" spans="1:9" ht="17.25" thickBot="1" x14ac:dyDescent="0.35">
      <c r="A5" s="1466" t="s">
        <v>129</v>
      </c>
      <c r="B5" s="1466"/>
      <c r="C5" s="1466"/>
      <c r="D5" s="1466"/>
      <c r="E5" s="1466"/>
      <c r="F5" s="1466"/>
      <c r="G5" s="1466"/>
      <c r="H5" s="1466"/>
      <c r="I5" s="1466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395</v>
      </c>
      <c r="F6" s="1273" t="s">
        <v>321</v>
      </c>
      <c r="G6" s="1273" t="s">
        <v>59</v>
      </c>
      <c r="H6" s="127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276"/>
      <c r="I7" s="1278"/>
    </row>
    <row r="8" spans="1:9" ht="16.5" customHeight="1" x14ac:dyDescent="0.3">
      <c r="A8" s="1364" t="s">
        <v>165</v>
      </c>
      <c r="B8" s="1309" t="s">
        <v>166</v>
      </c>
      <c r="C8" s="319" t="s">
        <v>147</v>
      </c>
      <c r="D8" s="236"/>
      <c r="E8" s="236"/>
      <c r="F8" s="236"/>
      <c r="G8" s="243">
        <f>F8-D8</f>
        <v>0</v>
      </c>
      <c r="H8" s="237"/>
      <c r="I8" s="293"/>
    </row>
    <row r="9" spans="1:9" ht="16.5" customHeight="1" x14ac:dyDescent="0.3">
      <c r="A9" s="1364"/>
      <c r="B9" s="1309"/>
      <c r="C9" s="320" t="s">
        <v>150</v>
      </c>
      <c r="D9" s="231"/>
      <c r="E9" s="231"/>
      <c r="F9" s="231"/>
      <c r="G9" s="243">
        <f t="shared" ref="G9:G20" si="0">F9-D9</f>
        <v>0</v>
      </c>
      <c r="H9" s="234"/>
      <c r="I9" s="294"/>
    </row>
    <row r="10" spans="1:9" ht="16.5" customHeight="1" x14ac:dyDescent="0.3">
      <c r="A10" s="1364"/>
      <c r="B10" s="1309"/>
      <c r="C10" s="320" t="s">
        <v>151</v>
      </c>
      <c r="D10" s="231"/>
      <c r="E10" s="231"/>
      <c r="F10" s="231"/>
      <c r="G10" s="243">
        <f t="shared" si="0"/>
        <v>0</v>
      </c>
      <c r="H10" s="234"/>
      <c r="I10" s="294"/>
    </row>
    <row r="11" spans="1:9" ht="16.5" customHeight="1" x14ac:dyDescent="0.3">
      <c r="A11" s="1364"/>
      <c r="B11" s="1309"/>
      <c r="C11" s="320" t="s">
        <v>152</v>
      </c>
      <c r="D11" s="231"/>
      <c r="E11" s="231"/>
      <c r="F11" s="231"/>
      <c r="G11" s="243">
        <f t="shared" si="0"/>
        <v>0</v>
      </c>
      <c r="H11" s="234"/>
      <c r="I11" s="294"/>
    </row>
    <row r="12" spans="1:9" ht="16.5" customHeight="1" x14ac:dyDescent="0.3">
      <c r="A12" s="1364"/>
      <c r="B12" s="1288"/>
      <c r="C12" s="320" t="s">
        <v>153</v>
      </c>
      <c r="D12" s="231"/>
      <c r="E12" s="231"/>
      <c r="F12" s="231"/>
      <c r="G12" s="243">
        <f t="shared" si="0"/>
        <v>0</v>
      </c>
      <c r="H12" s="234"/>
      <c r="I12" s="294"/>
    </row>
    <row r="13" spans="1:9" ht="18" thickBot="1" x14ac:dyDescent="0.35">
      <c r="A13" s="1365"/>
      <c r="B13" s="1374" t="s">
        <v>13</v>
      </c>
      <c r="C13" s="1374"/>
      <c r="D13" s="232">
        <f>SUM(D8:D12)</f>
        <v>0</v>
      </c>
      <c r="E13" s="232">
        <f t="shared" ref="E13:F13" si="1">SUM(E8:E12)</f>
        <v>0</v>
      </c>
      <c r="F13" s="232">
        <f t="shared" si="1"/>
        <v>0</v>
      </c>
      <c r="G13" s="244">
        <f t="shared" si="0"/>
        <v>0</v>
      </c>
      <c r="H13" s="235"/>
      <c r="I13" s="295"/>
    </row>
    <row r="14" spans="1:9" ht="24.75" customHeight="1" x14ac:dyDescent="0.3">
      <c r="A14" s="1401" t="s">
        <v>3</v>
      </c>
      <c r="B14" s="1309" t="s">
        <v>3</v>
      </c>
      <c r="C14" s="319" t="s">
        <v>142</v>
      </c>
      <c r="D14" s="236"/>
      <c r="E14" s="236"/>
      <c r="F14" s="236"/>
      <c r="G14" s="243">
        <f t="shared" si="0"/>
        <v>0</v>
      </c>
      <c r="H14" s="237"/>
      <c r="I14" s="296"/>
    </row>
    <row r="15" spans="1:9" ht="24.75" customHeight="1" x14ac:dyDescent="0.3">
      <c r="A15" s="1401"/>
      <c r="B15" s="1309"/>
      <c r="C15" s="320" t="s">
        <v>143</v>
      </c>
      <c r="D15" s="231"/>
      <c r="E15" s="231"/>
      <c r="F15" s="231"/>
      <c r="G15" s="243">
        <f t="shared" si="0"/>
        <v>0</v>
      </c>
      <c r="H15" s="234"/>
      <c r="I15" s="297"/>
    </row>
    <row r="16" spans="1:9" ht="24.75" customHeight="1" x14ac:dyDescent="0.3">
      <c r="A16" s="1401"/>
      <c r="B16" s="1309"/>
      <c r="C16" s="320" t="s">
        <v>144</v>
      </c>
      <c r="D16" s="231"/>
      <c r="E16" s="231"/>
      <c r="F16" s="231"/>
      <c r="G16" s="243">
        <f t="shared" si="0"/>
        <v>0</v>
      </c>
      <c r="H16" s="234"/>
      <c r="I16" s="297"/>
    </row>
    <row r="17" spans="1:9" ht="24.75" customHeight="1" x14ac:dyDescent="0.3">
      <c r="A17" s="1401"/>
      <c r="B17" s="1309"/>
      <c r="C17" s="320" t="s">
        <v>145</v>
      </c>
      <c r="D17" s="231"/>
      <c r="E17" s="231"/>
      <c r="F17" s="231"/>
      <c r="G17" s="243">
        <f t="shared" si="0"/>
        <v>0</v>
      </c>
      <c r="H17" s="234"/>
      <c r="I17" s="297"/>
    </row>
    <row r="18" spans="1:9" ht="24.75" customHeight="1" x14ac:dyDescent="0.3">
      <c r="A18" s="1401"/>
      <c r="B18" s="1309"/>
      <c r="C18" s="319" t="s">
        <v>146</v>
      </c>
      <c r="D18" s="231"/>
      <c r="E18" s="231"/>
      <c r="F18" s="231"/>
      <c r="G18" s="243">
        <f t="shared" si="0"/>
        <v>0</v>
      </c>
      <c r="H18" s="234"/>
      <c r="I18" s="294"/>
    </row>
    <row r="19" spans="1:9" ht="24.75" customHeight="1" x14ac:dyDescent="0.3">
      <c r="A19" s="1401"/>
      <c r="B19" s="1309"/>
      <c r="C19" s="146" t="s">
        <v>148</v>
      </c>
      <c r="D19" s="231"/>
      <c r="E19" s="231"/>
      <c r="F19" s="231"/>
      <c r="G19" s="243">
        <f t="shared" si="0"/>
        <v>0</v>
      </c>
      <c r="H19" s="234"/>
      <c r="I19" s="294"/>
    </row>
    <row r="20" spans="1:9" ht="24.75" customHeight="1" x14ac:dyDescent="0.3">
      <c r="A20" s="1401"/>
      <c r="B20" s="1309"/>
      <c r="C20" s="146" t="s">
        <v>149</v>
      </c>
      <c r="D20" s="231"/>
      <c r="E20" s="231"/>
      <c r="F20" s="231"/>
      <c r="G20" s="243">
        <f t="shared" si="0"/>
        <v>0</v>
      </c>
      <c r="H20" s="234"/>
      <c r="I20" s="294"/>
    </row>
    <row r="21" spans="1:9" ht="17.25" customHeight="1" x14ac:dyDescent="0.3">
      <c r="A21" s="1401"/>
      <c r="B21" s="1288"/>
      <c r="C21" s="146" t="s">
        <v>167</v>
      </c>
      <c r="D21" s="65"/>
      <c r="E21" s="65"/>
      <c r="F21" s="35"/>
      <c r="G21" s="36">
        <f>F21-D21</f>
        <v>0</v>
      </c>
      <c r="H21" s="130"/>
      <c r="I21" s="37"/>
    </row>
    <row r="22" spans="1:9" ht="17.25" thickBot="1" x14ac:dyDescent="0.35">
      <c r="A22" s="1460"/>
      <c r="B22" s="1403" t="s">
        <v>13</v>
      </c>
      <c r="C22" s="1404"/>
      <c r="D22" s="40">
        <f>SUM(D14:D21)</f>
        <v>0</v>
      </c>
      <c r="E22" s="40">
        <f t="shared" ref="E22:F22" si="2">SUM(E14:E21)</f>
        <v>0</v>
      </c>
      <c r="F22" s="40">
        <f t="shared" si="2"/>
        <v>0</v>
      </c>
      <c r="G22" s="133">
        <f t="shared" ref="G22:G48" si="3">F22-D22</f>
        <v>0</v>
      </c>
      <c r="H22" s="134"/>
      <c r="I22" s="41"/>
    </row>
    <row r="23" spans="1:9" ht="21" customHeight="1" x14ac:dyDescent="0.3">
      <c r="A23" s="1371" t="s">
        <v>159</v>
      </c>
      <c r="B23" s="1308" t="s">
        <v>159</v>
      </c>
      <c r="C23" s="147" t="s">
        <v>113</v>
      </c>
      <c r="D23" s="70"/>
      <c r="E23" s="70"/>
      <c r="F23" s="71"/>
      <c r="G23" s="160">
        <f t="shared" si="3"/>
        <v>0</v>
      </c>
      <c r="H23" s="163"/>
      <c r="I23" s="79"/>
    </row>
    <row r="24" spans="1:9" ht="21" customHeight="1" x14ac:dyDescent="0.3">
      <c r="A24" s="1372"/>
      <c r="B24" s="1309"/>
      <c r="C24" s="320" t="s">
        <v>63</v>
      </c>
      <c r="D24" s="884">
        <v>133843580</v>
      </c>
      <c r="E24" s="913">
        <v>121308310</v>
      </c>
      <c r="F24" s="884">
        <v>129754370</v>
      </c>
      <c r="G24" s="600">
        <f t="shared" si="3"/>
        <v>-4089210</v>
      </c>
      <c r="H24" s="164">
        <f t="shared" ref="H24:H27" si="4">G24/D24*100%</f>
        <v>-3.0552156479974609E-2</v>
      </c>
      <c r="I24" s="514"/>
    </row>
    <row r="25" spans="1:9" ht="21" customHeight="1" x14ac:dyDescent="0.3">
      <c r="A25" s="1372"/>
      <c r="B25" s="1309"/>
      <c r="C25" s="320" t="s">
        <v>30</v>
      </c>
      <c r="D25" s="884">
        <v>42000000</v>
      </c>
      <c r="E25" s="913">
        <v>39771000</v>
      </c>
      <c r="F25" s="884">
        <v>39771000</v>
      </c>
      <c r="G25" s="600">
        <f t="shared" si="3"/>
        <v>-2229000</v>
      </c>
      <c r="H25" s="164">
        <f t="shared" si="4"/>
        <v>-5.3071428571428568E-2</v>
      </c>
      <c r="I25" s="80"/>
    </row>
    <row r="26" spans="1:9" ht="21" customHeight="1" x14ac:dyDescent="0.3">
      <c r="A26" s="1372"/>
      <c r="B26" s="1288"/>
      <c r="C26" s="320" t="s">
        <v>64</v>
      </c>
      <c r="D26" s="44"/>
      <c r="E26" s="44"/>
      <c r="F26" s="66"/>
      <c r="G26" s="600"/>
      <c r="H26" s="164"/>
      <c r="I26" s="80"/>
    </row>
    <row r="27" spans="1:9" ht="17.25" thickBot="1" x14ac:dyDescent="0.35">
      <c r="A27" s="1373"/>
      <c r="B27" s="1368" t="s">
        <v>13</v>
      </c>
      <c r="C27" s="1394"/>
      <c r="D27" s="519">
        <f>SUM(D23:D26)</f>
        <v>175843580</v>
      </c>
      <c r="E27" s="519">
        <f t="shared" ref="E27:F27" si="5">SUM(E23:E26)</f>
        <v>161079310</v>
      </c>
      <c r="F27" s="519">
        <f t="shared" si="5"/>
        <v>169525370</v>
      </c>
      <c r="G27" s="749">
        <f t="shared" si="3"/>
        <v>-6318210</v>
      </c>
      <c r="H27" s="660">
        <f t="shared" si="4"/>
        <v>-3.5930854001038876E-2</v>
      </c>
      <c r="I27" s="81"/>
    </row>
    <row r="28" spans="1:9" ht="21.75" customHeight="1" x14ac:dyDescent="0.3">
      <c r="A28" s="1325" t="s">
        <v>161</v>
      </c>
      <c r="B28" s="1288" t="s">
        <v>161</v>
      </c>
      <c r="C28" s="151" t="s">
        <v>6</v>
      </c>
      <c r="D28" s="885">
        <v>1000</v>
      </c>
      <c r="E28" s="914"/>
      <c r="F28" s="885">
        <v>1000</v>
      </c>
      <c r="G28" s="36">
        <f t="shared" si="3"/>
        <v>0</v>
      </c>
      <c r="H28" s="130">
        <f t="shared" ref="H28:H30" si="6">G28/D28*100%</f>
        <v>0</v>
      </c>
      <c r="I28" s="82"/>
    </row>
    <row r="29" spans="1:9" ht="21.75" customHeight="1" x14ac:dyDescent="0.3">
      <c r="A29" s="1326"/>
      <c r="B29" s="1289"/>
      <c r="C29" s="151" t="s">
        <v>7</v>
      </c>
      <c r="D29" s="36">
        <v>18503775</v>
      </c>
      <c r="E29" s="922">
        <v>18162470</v>
      </c>
      <c r="F29" s="36">
        <v>19003775</v>
      </c>
      <c r="G29" s="36">
        <f t="shared" si="3"/>
        <v>500000</v>
      </c>
      <c r="H29" s="130">
        <f t="shared" si="6"/>
        <v>2.7021513177716439E-2</v>
      </c>
      <c r="I29" s="643"/>
    </row>
    <row r="30" spans="1:9" ht="17.25" thickBot="1" x14ac:dyDescent="0.35">
      <c r="A30" s="1327"/>
      <c r="B30" s="1374" t="s">
        <v>13</v>
      </c>
      <c r="C30" s="1374"/>
      <c r="D30" s="539">
        <f>SUM(D28:D29)</f>
        <v>18504775</v>
      </c>
      <c r="E30" s="539">
        <f t="shared" ref="E30:F30" si="7">SUM(E28:E29)</f>
        <v>18162470</v>
      </c>
      <c r="F30" s="601">
        <f t="shared" si="7"/>
        <v>19004775</v>
      </c>
      <c r="G30" s="601">
        <f t="shared" si="3"/>
        <v>500000</v>
      </c>
      <c r="H30" s="572">
        <f t="shared" si="6"/>
        <v>2.7020052932283694E-2</v>
      </c>
      <c r="I30" s="42"/>
    </row>
    <row r="31" spans="1:9" ht="20.25" customHeight="1" x14ac:dyDescent="0.3">
      <c r="A31" s="1370" t="s">
        <v>163</v>
      </c>
      <c r="B31" s="1308" t="s">
        <v>163</v>
      </c>
      <c r="C31" s="147" t="s">
        <v>154</v>
      </c>
      <c r="D31" s="71"/>
      <c r="E31" s="71"/>
      <c r="F31" s="69"/>
      <c r="G31" s="69">
        <f t="shared" si="3"/>
        <v>0</v>
      </c>
      <c r="H31" s="222"/>
      <c r="I31" s="79"/>
    </row>
    <row r="32" spans="1:9" ht="20.25" customHeight="1" x14ac:dyDescent="0.3">
      <c r="A32" s="1364"/>
      <c r="B32" s="1288"/>
      <c r="C32" s="320" t="s">
        <v>155</v>
      </c>
      <c r="D32" s="66"/>
      <c r="E32" s="66"/>
      <c r="F32" s="66"/>
      <c r="G32" s="66">
        <f t="shared" si="3"/>
        <v>0</v>
      </c>
      <c r="H32" s="218"/>
      <c r="I32" s="83"/>
    </row>
    <row r="33" spans="1:9" ht="17.25" thickBot="1" x14ac:dyDescent="0.35">
      <c r="A33" s="1365"/>
      <c r="B33" s="321"/>
      <c r="C33" s="321" t="s">
        <v>13</v>
      </c>
      <c r="D33" s="73">
        <f>SUM(D31:D32)</f>
        <v>0</v>
      </c>
      <c r="E33" s="73">
        <f t="shared" ref="E33:F33" si="8">SUM(E31:E32)</f>
        <v>0</v>
      </c>
      <c r="F33" s="73">
        <f t="shared" si="8"/>
        <v>0</v>
      </c>
      <c r="G33" s="40">
        <f t="shared" si="3"/>
        <v>0</v>
      </c>
      <c r="H33" s="233"/>
      <c r="I33" s="81"/>
    </row>
    <row r="34" spans="1:9" ht="19.5" customHeight="1" x14ac:dyDescent="0.3">
      <c r="A34" s="326"/>
      <c r="B34" s="1309" t="s">
        <v>4</v>
      </c>
      <c r="C34" s="319" t="s">
        <v>183</v>
      </c>
      <c r="D34" s="69"/>
      <c r="E34" s="69"/>
      <c r="F34" s="69"/>
      <c r="G34" s="450">
        <f t="shared" si="3"/>
        <v>0</v>
      </c>
      <c r="H34" s="651"/>
      <c r="I34" s="240"/>
    </row>
    <row r="35" spans="1:9" ht="19.5" customHeight="1" x14ac:dyDescent="0.3">
      <c r="A35" s="1303" t="s">
        <v>4</v>
      </c>
      <c r="B35" s="1288"/>
      <c r="C35" s="146" t="s">
        <v>184</v>
      </c>
      <c r="D35" s="66"/>
      <c r="E35" s="66"/>
      <c r="F35" s="44"/>
      <c r="G35" s="69">
        <f t="shared" si="3"/>
        <v>0</v>
      </c>
      <c r="H35" s="222"/>
      <c r="I35" s="83"/>
    </row>
    <row r="36" spans="1:9" ht="17.25" thickBot="1" x14ac:dyDescent="0.35">
      <c r="A36" s="1304"/>
      <c r="B36" s="1399" t="s">
        <v>13</v>
      </c>
      <c r="C36" s="1400"/>
      <c r="D36" s="241">
        <f>SUM(D34:D35)</f>
        <v>0</v>
      </c>
      <c r="E36" s="241">
        <f t="shared" ref="E36:F36" si="9">SUM(E34:E35)</f>
        <v>0</v>
      </c>
      <c r="F36" s="241">
        <f t="shared" si="9"/>
        <v>0</v>
      </c>
      <c r="G36" s="158">
        <f t="shared" si="3"/>
        <v>0</v>
      </c>
      <c r="H36" s="166"/>
      <c r="I36" s="42"/>
    </row>
    <row r="37" spans="1:9" ht="18.75" customHeight="1" x14ac:dyDescent="0.3">
      <c r="A37" s="1302" t="s">
        <v>170</v>
      </c>
      <c r="B37" s="1308" t="s">
        <v>170</v>
      </c>
      <c r="C37" s="149" t="s">
        <v>9</v>
      </c>
      <c r="D37" s="68"/>
      <c r="E37" s="68"/>
      <c r="F37" s="43"/>
      <c r="G37" s="36">
        <f t="shared" si="3"/>
        <v>0</v>
      </c>
      <c r="H37" s="130"/>
      <c r="I37" s="74"/>
    </row>
    <row r="38" spans="1:9" ht="18.75" customHeight="1" x14ac:dyDescent="0.3">
      <c r="A38" s="1303"/>
      <c r="B38" s="1288"/>
      <c r="C38" s="624" t="s">
        <v>174</v>
      </c>
      <c r="D38" s="133">
        <v>58865952</v>
      </c>
      <c r="E38" s="923">
        <v>58865952</v>
      </c>
      <c r="F38" s="133">
        <v>58865952</v>
      </c>
      <c r="G38" s="36">
        <f t="shared" si="3"/>
        <v>0</v>
      </c>
      <c r="H38" s="134">
        <f t="shared" ref="H38:H39" si="10">G38/D38*100%</f>
        <v>0</v>
      </c>
      <c r="I38" s="239"/>
    </row>
    <row r="39" spans="1:9" ht="17.25" thickBot="1" x14ac:dyDescent="0.35">
      <c r="A39" s="1304"/>
      <c r="B39" s="1312" t="s">
        <v>13</v>
      </c>
      <c r="C39" s="1313"/>
      <c r="D39" s="519">
        <f>SUM(D37:D38)</f>
        <v>58865952</v>
      </c>
      <c r="E39" s="519">
        <f t="shared" ref="E39:F39" si="11">SUM(E37:E38)</f>
        <v>58865952</v>
      </c>
      <c r="F39" s="519">
        <f t="shared" si="11"/>
        <v>58865952</v>
      </c>
      <c r="G39" s="520">
        <f t="shared" si="3"/>
        <v>0</v>
      </c>
      <c r="H39" s="653">
        <f t="shared" si="10"/>
        <v>0</v>
      </c>
      <c r="I39" s="299"/>
    </row>
    <row r="40" spans="1:9" ht="19.5" customHeight="1" x14ac:dyDescent="0.3">
      <c r="A40" s="1456" t="s">
        <v>172</v>
      </c>
      <c r="B40" s="1323" t="s">
        <v>172</v>
      </c>
      <c r="C40" s="617" t="s">
        <v>350</v>
      </c>
      <c r="D40" s="71"/>
      <c r="E40" s="71"/>
      <c r="F40" s="70"/>
      <c r="G40" s="155">
        <f t="shared" si="3"/>
        <v>0</v>
      </c>
      <c r="H40" s="455"/>
      <c r="I40" s="79"/>
    </row>
    <row r="41" spans="1:9" ht="19.5" customHeight="1" x14ac:dyDescent="0.3">
      <c r="A41" s="1473"/>
      <c r="B41" s="1288"/>
      <c r="C41" s="618" t="s">
        <v>173</v>
      </c>
      <c r="D41" s="44">
        <v>3693</v>
      </c>
      <c r="E41" s="916">
        <v>1189</v>
      </c>
      <c r="F41" s="44">
        <v>3903</v>
      </c>
      <c r="G41" s="36"/>
      <c r="H41" s="222">
        <f t="shared" ref="H41:H44" si="12">G41/D41*100</f>
        <v>0</v>
      </c>
      <c r="I41" s="240"/>
    </row>
    <row r="42" spans="1:9" ht="19.5" customHeight="1" x14ac:dyDescent="0.3">
      <c r="A42" s="1457"/>
      <c r="B42" s="1289"/>
      <c r="C42" s="619" t="s">
        <v>175</v>
      </c>
      <c r="D42" s="44"/>
      <c r="E42" s="916"/>
      <c r="F42" s="44"/>
      <c r="G42" s="36">
        <f t="shared" si="3"/>
        <v>0</v>
      </c>
      <c r="H42" s="222"/>
      <c r="I42" s="83"/>
    </row>
    <row r="43" spans="1:9" ht="19.5" customHeight="1" x14ac:dyDescent="0.3">
      <c r="A43" s="1457"/>
      <c r="B43" s="1289"/>
      <c r="C43" s="619" t="s">
        <v>10</v>
      </c>
      <c r="D43" s="44">
        <v>50000</v>
      </c>
      <c r="E43" s="916"/>
      <c r="F43" s="44">
        <v>50000</v>
      </c>
      <c r="G43" s="36">
        <f t="shared" si="3"/>
        <v>0</v>
      </c>
      <c r="H43" s="222">
        <f>G43/D43*100%</f>
        <v>0</v>
      </c>
      <c r="I43" s="83"/>
    </row>
    <row r="44" spans="1:9" ht="17.25" thickBot="1" x14ac:dyDescent="0.35">
      <c r="A44" s="1458"/>
      <c r="B44" s="1374" t="s">
        <v>13</v>
      </c>
      <c r="C44" s="1374"/>
      <c r="D44" s="519">
        <f>SUM(D40:D43)</f>
        <v>53693</v>
      </c>
      <c r="E44" s="519">
        <f t="shared" ref="E44:F44" si="13">SUM(E40:E43)</f>
        <v>1189</v>
      </c>
      <c r="F44" s="519">
        <f t="shared" si="13"/>
        <v>53903</v>
      </c>
      <c r="G44" s="605">
        <f t="shared" si="3"/>
        <v>210</v>
      </c>
      <c r="H44" s="653">
        <f t="shared" si="12"/>
        <v>0.39111243551300912</v>
      </c>
      <c r="I44" s="81"/>
    </row>
    <row r="45" spans="1:9" ht="22.5" customHeight="1" x14ac:dyDescent="0.3">
      <c r="A45" s="1325" t="s">
        <v>176</v>
      </c>
      <c r="B45" s="1288" t="s">
        <v>177</v>
      </c>
      <c r="C45" s="618" t="s">
        <v>178</v>
      </c>
      <c r="D45" s="69"/>
      <c r="E45" s="69"/>
      <c r="F45" s="221"/>
      <c r="G45" s="36">
        <f t="shared" si="3"/>
        <v>0</v>
      </c>
      <c r="H45" s="222"/>
      <c r="I45" s="240"/>
    </row>
    <row r="46" spans="1:9" ht="22.5" customHeight="1" x14ac:dyDescent="0.3">
      <c r="A46" s="1326"/>
      <c r="B46" s="1289"/>
      <c r="C46" s="320" t="s">
        <v>179</v>
      </c>
      <c r="D46" s="66"/>
      <c r="E46" s="66"/>
      <c r="F46" s="44"/>
      <c r="G46" s="36">
        <f t="shared" si="3"/>
        <v>0</v>
      </c>
      <c r="H46" s="218"/>
      <c r="I46" s="83"/>
    </row>
    <row r="47" spans="1:9" ht="17.25" thickBot="1" x14ac:dyDescent="0.35">
      <c r="A47" s="1459"/>
      <c r="B47" s="1390" t="s">
        <v>13</v>
      </c>
      <c r="C47" s="1390"/>
      <c r="D47" s="131">
        <f>SUM(D45:D46)</f>
        <v>0</v>
      </c>
      <c r="E47" s="131">
        <f t="shared" ref="E47:F47" si="14">SUM(E45:E46)</f>
        <v>0</v>
      </c>
      <c r="F47" s="131">
        <f t="shared" si="14"/>
        <v>0</v>
      </c>
      <c r="G47" s="133">
        <f t="shared" si="3"/>
        <v>0</v>
      </c>
      <c r="H47" s="134"/>
      <c r="I47" s="135"/>
    </row>
    <row r="48" spans="1:9" ht="17.25" thickBot="1" x14ac:dyDescent="0.35">
      <c r="A48" s="1391" t="s">
        <v>41</v>
      </c>
      <c r="B48" s="1392"/>
      <c r="C48" s="1393"/>
      <c r="D48" s="302">
        <f>SUM(D22,D27,D30,D36,D39,D44,D47)</f>
        <v>253268000</v>
      </c>
      <c r="E48" s="302">
        <f t="shared" ref="E48:F48" si="15">SUM(E22,E27,E30,E36,E39,E44,E47)</f>
        <v>238108921</v>
      </c>
      <c r="F48" s="302">
        <f t="shared" si="15"/>
        <v>247450000</v>
      </c>
      <c r="G48" s="606">
        <f t="shared" si="3"/>
        <v>-5818000</v>
      </c>
      <c r="H48" s="523">
        <f>G48/D48*100%</f>
        <v>-2.2971713757758579E-2</v>
      </c>
      <c r="I48" s="78"/>
    </row>
    <row r="49" spans="1:9" ht="17.25" thickBot="1" x14ac:dyDescent="0.35">
      <c r="A49" s="1475" t="s">
        <v>66</v>
      </c>
      <c r="B49" s="1340"/>
      <c r="C49" s="1340"/>
      <c r="D49" s="1340"/>
      <c r="E49" s="1340"/>
      <c r="F49" s="1340"/>
      <c r="G49" s="1340"/>
      <c r="H49" s="1340"/>
      <c r="I49" s="1476"/>
    </row>
    <row r="50" spans="1:9" ht="17.45" customHeight="1" x14ac:dyDescent="0.3">
      <c r="A50" s="1314" t="s">
        <v>29</v>
      </c>
      <c r="B50" s="1315"/>
      <c r="C50" s="1315"/>
      <c r="D50" s="1273" t="s">
        <v>237</v>
      </c>
      <c r="E50" s="1273" t="s">
        <v>395</v>
      </c>
      <c r="F50" s="1273" t="s">
        <v>320</v>
      </c>
      <c r="G50" s="1273" t="s">
        <v>59</v>
      </c>
      <c r="H50" s="1275" t="s">
        <v>49</v>
      </c>
      <c r="I50" s="1277" t="s">
        <v>61</v>
      </c>
    </row>
    <row r="51" spans="1:9" ht="18" customHeight="1" thickBot="1" x14ac:dyDescent="0.35">
      <c r="A51" s="84" t="s">
        <v>0</v>
      </c>
      <c r="B51" s="136" t="s">
        <v>1</v>
      </c>
      <c r="C51" s="136" t="s">
        <v>2</v>
      </c>
      <c r="D51" s="1274"/>
      <c r="E51" s="1274"/>
      <c r="F51" s="1274"/>
      <c r="G51" s="1274"/>
      <c r="H51" s="1276"/>
      <c r="I51" s="1278"/>
    </row>
    <row r="52" spans="1:9" x14ac:dyDescent="0.3">
      <c r="A52" s="322" t="s">
        <v>185</v>
      </c>
      <c r="B52" s="1323" t="s">
        <v>186</v>
      </c>
      <c r="C52" s="536" t="s">
        <v>17</v>
      </c>
      <c r="D52" s="35">
        <v>70273800</v>
      </c>
      <c r="E52" s="917">
        <v>62063330</v>
      </c>
      <c r="F52" s="35">
        <v>68989630</v>
      </c>
      <c r="G52" s="43">
        <f>F52-D52</f>
        <v>-1284170</v>
      </c>
      <c r="H52" s="453">
        <f>G52/D52*100%</f>
        <v>-1.8273809015593293E-2</v>
      </c>
      <c r="I52" s="661"/>
    </row>
    <row r="53" spans="1:9" x14ac:dyDescent="0.3">
      <c r="A53" s="328"/>
      <c r="B53" s="1289"/>
      <c r="C53" s="150" t="s">
        <v>32</v>
      </c>
      <c r="D53" s="35">
        <v>24907000</v>
      </c>
      <c r="E53" s="917">
        <v>22625130</v>
      </c>
      <c r="F53" s="35">
        <v>24906810</v>
      </c>
      <c r="G53" s="35">
        <f t="shared" ref="G53:G56" si="16">F53-D53</f>
        <v>-190</v>
      </c>
      <c r="H53" s="130">
        <f t="shared" ref="H53:H58" si="17">G53/D53*100%</f>
        <v>-7.6283775645400894E-6</v>
      </c>
      <c r="I53" s="643"/>
    </row>
    <row r="54" spans="1:9" x14ac:dyDescent="0.3">
      <c r="A54" s="328"/>
      <c r="B54" s="1289"/>
      <c r="C54" s="150" t="s">
        <v>180</v>
      </c>
      <c r="D54" s="35"/>
      <c r="E54" s="918"/>
      <c r="F54" s="35"/>
      <c r="G54" s="35"/>
      <c r="H54" s="130"/>
      <c r="I54" s="643"/>
    </row>
    <row r="55" spans="1:9" ht="21" customHeight="1" x14ac:dyDescent="0.3">
      <c r="A55" s="328"/>
      <c r="B55" s="1289"/>
      <c r="C55" s="150" t="s">
        <v>84</v>
      </c>
      <c r="D55" s="35">
        <v>9000000</v>
      </c>
      <c r="E55" s="917">
        <v>6922900</v>
      </c>
      <c r="F55" s="35">
        <v>7692130</v>
      </c>
      <c r="G55" s="35">
        <f t="shared" si="16"/>
        <v>-1307870</v>
      </c>
      <c r="H55" s="130">
        <f t="shared" si="17"/>
        <v>-0.14531888888888889</v>
      </c>
      <c r="I55" s="643"/>
    </row>
    <row r="56" spans="1:9" ht="21" customHeight="1" x14ac:dyDescent="0.3">
      <c r="A56" s="328"/>
      <c r="B56" s="1289"/>
      <c r="C56" s="150" t="s">
        <v>33</v>
      </c>
      <c r="D56" s="35">
        <v>9555000</v>
      </c>
      <c r="E56" s="917">
        <v>7289820</v>
      </c>
      <c r="F56" s="35">
        <v>8404700</v>
      </c>
      <c r="G56" s="35">
        <f t="shared" si="16"/>
        <v>-1150300</v>
      </c>
      <c r="H56" s="130">
        <f t="shared" si="17"/>
        <v>-0.12038723181580324</v>
      </c>
      <c r="I56" s="643"/>
    </row>
    <row r="57" spans="1:9" ht="21" customHeight="1" x14ac:dyDescent="0.3">
      <c r="A57" s="328"/>
      <c r="B57" s="1289"/>
      <c r="C57" s="150" t="s">
        <v>18</v>
      </c>
      <c r="D57" s="35">
        <v>209000</v>
      </c>
      <c r="E57" s="917">
        <v>209000</v>
      </c>
      <c r="F57" s="35">
        <v>209000</v>
      </c>
      <c r="G57" s="36">
        <v>0</v>
      </c>
      <c r="H57" s="130">
        <f t="shared" si="17"/>
        <v>0</v>
      </c>
      <c r="I57" s="643"/>
    </row>
    <row r="58" spans="1:9" ht="17.25" thickBot="1" x14ac:dyDescent="0.35">
      <c r="A58" s="328"/>
      <c r="B58" s="1324"/>
      <c r="C58" s="538" t="s">
        <v>305</v>
      </c>
      <c r="D58" s="539">
        <f>SUM(D52:D57)</f>
        <v>113944800</v>
      </c>
      <c r="E58" s="539">
        <f t="shared" ref="E58:F58" si="18">SUM(E52:E57)</f>
        <v>99110180</v>
      </c>
      <c r="F58" s="539">
        <f t="shared" si="18"/>
        <v>110202270</v>
      </c>
      <c r="G58" s="605">
        <f t="shared" ref="G58:G112" si="19">F58-D58</f>
        <v>-3742530</v>
      </c>
      <c r="H58" s="540">
        <f t="shared" si="17"/>
        <v>-3.2845114476483347E-2</v>
      </c>
      <c r="I58" s="41"/>
    </row>
    <row r="59" spans="1:9" ht="15" customHeight="1" x14ac:dyDescent="0.3">
      <c r="A59" s="328"/>
      <c r="B59" s="1323" t="s">
        <v>90</v>
      </c>
      <c r="C59" s="149" t="s">
        <v>19</v>
      </c>
      <c r="D59" s="541"/>
      <c r="E59" s="43"/>
      <c r="F59" s="43"/>
      <c r="G59" s="155">
        <f t="shared" si="19"/>
        <v>0</v>
      </c>
      <c r="H59" s="453"/>
      <c r="I59" s="544"/>
    </row>
    <row r="60" spans="1:9" ht="15" customHeight="1" x14ac:dyDescent="0.3">
      <c r="A60" s="328"/>
      <c r="B60" s="1289"/>
      <c r="C60" s="219" t="s">
        <v>182</v>
      </c>
      <c r="D60" s="35"/>
      <c r="E60" s="35"/>
      <c r="F60" s="35"/>
      <c r="G60" s="36">
        <f t="shared" si="19"/>
        <v>0</v>
      </c>
      <c r="H60" s="130"/>
      <c r="I60" s="37"/>
    </row>
    <row r="61" spans="1:9" x14ac:dyDescent="0.3">
      <c r="A61" s="328"/>
      <c r="B61" s="1289"/>
      <c r="C61" s="150" t="s">
        <v>20</v>
      </c>
      <c r="D61" s="35"/>
      <c r="E61" s="35"/>
      <c r="F61" s="35"/>
      <c r="G61" s="36">
        <f t="shared" si="19"/>
        <v>0</v>
      </c>
      <c r="H61" s="130"/>
      <c r="I61" s="37"/>
    </row>
    <row r="62" spans="1:9" ht="17.25" thickBot="1" x14ac:dyDescent="0.35">
      <c r="A62" s="328"/>
      <c r="B62" s="1324"/>
      <c r="C62" s="538" t="s">
        <v>306</v>
      </c>
      <c r="D62" s="67">
        <f>SUM(D59:D61)</f>
        <v>0</v>
      </c>
      <c r="E62" s="67">
        <f t="shared" ref="E62:F62" si="20">SUM(E59:E61)</f>
        <v>0</v>
      </c>
      <c r="F62" s="67">
        <f t="shared" si="20"/>
        <v>0</v>
      </c>
      <c r="G62" s="40">
        <f t="shared" si="19"/>
        <v>0</v>
      </c>
      <c r="H62" s="233"/>
      <c r="I62" s="41"/>
    </row>
    <row r="63" spans="1:9" x14ac:dyDescent="0.3">
      <c r="A63" s="328"/>
      <c r="B63" s="1323" t="s">
        <v>131</v>
      </c>
      <c r="C63" s="536" t="s">
        <v>21</v>
      </c>
      <c r="D63" s="155"/>
      <c r="E63" s="543"/>
      <c r="F63" s="43"/>
      <c r="G63" s="155">
        <f t="shared" si="19"/>
        <v>0</v>
      </c>
      <c r="H63" s="453"/>
      <c r="I63" s="544"/>
    </row>
    <row r="64" spans="1:9" ht="15.75" customHeight="1" x14ac:dyDescent="0.3">
      <c r="A64" s="328"/>
      <c r="B64" s="1289"/>
      <c r="C64" s="150" t="s">
        <v>34</v>
      </c>
      <c r="D64" s="77">
        <v>1474450</v>
      </c>
      <c r="E64" s="920">
        <v>927419</v>
      </c>
      <c r="F64" s="77">
        <v>1674450</v>
      </c>
      <c r="G64" s="36">
        <f t="shared" si="19"/>
        <v>200000</v>
      </c>
      <c r="H64" s="130">
        <f t="shared" ref="H64:H68" si="21">G64/D64*100%</f>
        <v>0.1356437993828207</v>
      </c>
      <c r="I64" s="37"/>
    </row>
    <row r="65" spans="1:9" ht="15.75" customHeight="1" x14ac:dyDescent="0.3">
      <c r="A65" s="328"/>
      <c r="B65" s="1289"/>
      <c r="C65" s="150" t="s">
        <v>23</v>
      </c>
      <c r="D65" s="77">
        <v>2100000</v>
      </c>
      <c r="E65" s="913">
        <v>2006430</v>
      </c>
      <c r="F65" s="77">
        <v>2400000</v>
      </c>
      <c r="G65" s="36">
        <f t="shared" si="19"/>
        <v>300000</v>
      </c>
      <c r="H65" s="130">
        <f t="shared" si="21"/>
        <v>0.14285714285714285</v>
      </c>
      <c r="I65" s="37"/>
    </row>
    <row r="66" spans="1:9" ht="15.75" customHeight="1" x14ac:dyDescent="0.3">
      <c r="A66" s="328"/>
      <c r="B66" s="1289"/>
      <c r="C66" s="150" t="s">
        <v>24</v>
      </c>
      <c r="D66" s="77">
        <v>3275000</v>
      </c>
      <c r="E66" s="913">
        <v>3311930</v>
      </c>
      <c r="F66" s="77">
        <v>3363000</v>
      </c>
      <c r="G66" s="36">
        <f t="shared" si="19"/>
        <v>88000</v>
      </c>
      <c r="H66" s="130">
        <f t="shared" si="21"/>
        <v>2.6870229007633587E-2</v>
      </c>
      <c r="I66" s="37"/>
    </row>
    <row r="67" spans="1:9" ht="15.75" customHeight="1" x14ac:dyDescent="0.3">
      <c r="A67" s="323"/>
      <c r="B67" s="1289"/>
      <c r="C67" s="150" t="s">
        <v>35</v>
      </c>
      <c r="D67" s="156">
        <v>2633500</v>
      </c>
      <c r="E67" s="920">
        <v>2842500</v>
      </c>
      <c r="F67" s="156">
        <v>3092500</v>
      </c>
      <c r="G67" s="133">
        <f t="shared" si="19"/>
        <v>459000</v>
      </c>
      <c r="H67" s="134">
        <f t="shared" si="21"/>
        <v>0.17429276628061516</v>
      </c>
      <c r="I67" s="76"/>
    </row>
    <row r="68" spans="1:9" ht="15.75" customHeight="1" x14ac:dyDescent="0.3">
      <c r="A68" s="323"/>
      <c r="B68" s="1289"/>
      <c r="C68" s="624" t="s">
        <v>86</v>
      </c>
      <c r="D68" s="44">
        <v>1343000</v>
      </c>
      <c r="E68" s="913">
        <v>1343000</v>
      </c>
      <c r="F68" s="44">
        <v>1343000</v>
      </c>
      <c r="G68" s="66">
        <f t="shared" si="19"/>
        <v>0</v>
      </c>
      <c r="H68" s="218">
        <f t="shared" si="21"/>
        <v>0</v>
      </c>
      <c r="I68" s="83"/>
    </row>
    <row r="69" spans="1:9" ht="15.75" customHeight="1" x14ac:dyDescent="0.3">
      <c r="A69" s="323"/>
      <c r="B69" s="1289"/>
      <c r="C69" s="624" t="s">
        <v>36</v>
      </c>
      <c r="D69" s="44"/>
      <c r="E69" s="44"/>
      <c r="F69" s="44"/>
      <c r="G69" s="66">
        <f t="shared" si="19"/>
        <v>0</v>
      </c>
      <c r="H69" s="218"/>
      <c r="I69" s="83"/>
    </row>
    <row r="70" spans="1:9" ht="17.25" thickBot="1" x14ac:dyDescent="0.35">
      <c r="A70" s="323"/>
      <c r="B70" s="1324"/>
      <c r="C70" s="545" t="s">
        <v>307</v>
      </c>
      <c r="D70" s="580">
        <f>SUM(D63:D69)</f>
        <v>10825950</v>
      </c>
      <c r="E70" s="580">
        <f t="shared" ref="E70:F70" si="22">SUM(E63:E69)</f>
        <v>10431279</v>
      </c>
      <c r="F70" s="580">
        <f t="shared" si="22"/>
        <v>11872950</v>
      </c>
      <c r="G70" s="520">
        <f t="shared" si="19"/>
        <v>1047000</v>
      </c>
      <c r="H70" s="540">
        <f>G70/D70*100%</f>
        <v>9.6712066839399771E-2</v>
      </c>
      <c r="I70" s="42"/>
    </row>
    <row r="71" spans="1:9" ht="17.25" thickBot="1" x14ac:dyDescent="0.35">
      <c r="A71" s="324" t="s">
        <v>123</v>
      </c>
      <c r="B71" s="1321" t="s">
        <v>13</v>
      </c>
      <c r="C71" s="1322"/>
      <c r="D71" s="582">
        <f>SUM(D58,D62,D70)</f>
        <v>124770750</v>
      </c>
      <c r="E71" s="520">
        <f t="shared" ref="E71:F71" si="23">SUM(E58,E62,E70)</f>
        <v>109541459</v>
      </c>
      <c r="F71" s="582">
        <f t="shared" si="23"/>
        <v>122075220</v>
      </c>
      <c r="G71" s="605">
        <f t="shared" si="19"/>
        <v>-2695530</v>
      </c>
      <c r="H71" s="540">
        <f>G71/D71*100%</f>
        <v>-2.160386148195791E-2</v>
      </c>
      <c r="I71" s="41"/>
    </row>
    <row r="72" spans="1:9" ht="15.75" customHeight="1" x14ac:dyDescent="0.3">
      <c r="A72" s="1325" t="s">
        <v>189</v>
      </c>
      <c r="B72" s="1288" t="s">
        <v>42</v>
      </c>
      <c r="C72" s="151" t="s">
        <v>11</v>
      </c>
      <c r="D72" s="541">
        <v>1513300</v>
      </c>
      <c r="E72" s="924">
        <v>2228950</v>
      </c>
      <c r="F72" s="541">
        <v>2228950</v>
      </c>
      <c r="G72" s="583">
        <f t="shared" si="19"/>
        <v>715650</v>
      </c>
      <c r="H72" s="662">
        <f t="shared" ref="H72" si="24">G72/D72*100%</f>
        <v>0.47290689222229565</v>
      </c>
      <c r="I72" s="37"/>
    </row>
    <row r="73" spans="1:9" ht="15.75" customHeight="1" x14ac:dyDescent="0.3">
      <c r="A73" s="1325"/>
      <c r="B73" s="1288"/>
      <c r="C73" s="480" t="s">
        <v>337</v>
      </c>
      <c r="D73" s="547"/>
      <c r="E73" s="224"/>
      <c r="F73" s="548"/>
      <c r="G73" s="36">
        <f t="shared" si="19"/>
        <v>0</v>
      </c>
      <c r="H73" s="167"/>
      <c r="I73" s="37"/>
    </row>
    <row r="74" spans="1:9" ht="15.75" customHeight="1" x14ac:dyDescent="0.3">
      <c r="A74" s="1326"/>
      <c r="B74" s="1289"/>
      <c r="C74" s="146" t="s">
        <v>37</v>
      </c>
      <c r="D74" s="209"/>
      <c r="E74" s="44"/>
      <c r="F74" s="77"/>
      <c r="G74" s="36">
        <f t="shared" si="19"/>
        <v>0</v>
      </c>
      <c r="H74" s="167"/>
      <c r="I74" s="37"/>
    </row>
    <row r="75" spans="1:9" ht="17.25" thickBot="1" x14ac:dyDescent="0.35">
      <c r="A75" s="1327"/>
      <c r="B75" s="1300" t="s">
        <v>13</v>
      </c>
      <c r="C75" s="1301"/>
      <c r="D75" s="569">
        <f>SUM(D72:D74)</f>
        <v>1513300</v>
      </c>
      <c r="E75" s="569">
        <f t="shared" ref="E75:F75" si="25">SUM(E72:E74)</f>
        <v>2228950</v>
      </c>
      <c r="F75" s="569">
        <f t="shared" si="25"/>
        <v>2228950</v>
      </c>
      <c r="G75" s="520">
        <f t="shared" si="19"/>
        <v>715650</v>
      </c>
      <c r="H75" s="577">
        <f>G75/D75*100%</f>
        <v>0.47290689222229565</v>
      </c>
      <c r="I75" s="42"/>
    </row>
    <row r="76" spans="1:9" x14ac:dyDescent="0.3">
      <c r="A76" s="1302" t="s">
        <v>270</v>
      </c>
      <c r="B76" s="1306" t="s">
        <v>131</v>
      </c>
      <c r="C76" s="364" t="s">
        <v>132</v>
      </c>
      <c r="D76" s="221"/>
      <c r="E76" s="221"/>
      <c r="F76" s="221"/>
      <c r="G76" s="69">
        <f t="shared" si="19"/>
        <v>0</v>
      </c>
      <c r="H76" s="222"/>
      <c r="I76" s="240"/>
    </row>
    <row r="77" spans="1:9" x14ac:dyDescent="0.3">
      <c r="A77" s="1303"/>
      <c r="B77" s="1306"/>
      <c r="C77" s="364" t="s">
        <v>133</v>
      </c>
      <c r="D77" s="221"/>
      <c r="E77" s="221"/>
      <c r="F77" s="221"/>
      <c r="G77" s="66">
        <f t="shared" si="19"/>
        <v>0</v>
      </c>
      <c r="H77" s="218"/>
      <c r="I77" s="240"/>
    </row>
    <row r="78" spans="1:9" x14ac:dyDescent="0.3">
      <c r="A78" s="1303"/>
      <c r="B78" s="1306"/>
      <c r="C78" s="364" t="s">
        <v>194</v>
      </c>
      <c r="D78" s="221"/>
      <c r="E78" s="221"/>
      <c r="F78" s="221"/>
      <c r="G78" s="66">
        <f t="shared" si="19"/>
        <v>0</v>
      </c>
      <c r="H78" s="218"/>
      <c r="I78" s="240"/>
    </row>
    <row r="79" spans="1:9" x14ac:dyDescent="0.3">
      <c r="A79" s="1303"/>
      <c r="B79" s="1306"/>
      <c r="C79" s="230" t="s">
        <v>134</v>
      </c>
      <c r="D79" s="44"/>
      <c r="E79" s="44"/>
      <c r="F79" s="44"/>
      <c r="G79" s="66">
        <f t="shared" si="19"/>
        <v>0</v>
      </c>
      <c r="H79" s="218"/>
      <c r="I79" s="83"/>
    </row>
    <row r="80" spans="1:9" x14ac:dyDescent="0.3">
      <c r="A80" s="1303"/>
      <c r="B80" s="1306"/>
      <c r="C80" s="230" t="s">
        <v>195</v>
      </c>
      <c r="D80" s="44"/>
      <c r="E80" s="44"/>
      <c r="F80" s="44"/>
      <c r="G80" s="66">
        <f t="shared" si="19"/>
        <v>0</v>
      </c>
      <c r="H80" s="218"/>
      <c r="I80" s="83"/>
    </row>
    <row r="81" spans="1:9" x14ac:dyDescent="0.3">
      <c r="A81" s="1303"/>
      <c r="B81" s="1462"/>
      <c r="C81" s="228" t="s">
        <v>308</v>
      </c>
      <c r="D81" s="66">
        <f>SUM(D76:D80)</f>
        <v>0</v>
      </c>
      <c r="E81" s="66">
        <f t="shared" ref="E81:F81" si="26">SUM(E76:E80)</f>
        <v>0</v>
      </c>
      <c r="F81" s="66">
        <f t="shared" si="26"/>
        <v>0</v>
      </c>
      <c r="G81" s="66">
        <f t="shared" si="19"/>
        <v>0</v>
      </c>
      <c r="H81" s="218"/>
      <c r="I81" s="83"/>
    </row>
    <row r="82" spans="1:9" ht="15.75" customHeight="1" x14ac:dyDescent="0.3">
      <c r="A82" s="1303"/>
      <c r="B82" s="1479" t="s">
        <v>197</v>
      </c>
      <c r="C82" s="624" t="s">
        <v>164</v>
      </c>
      <c r="D82" s="44"/>
      <c r="E82" s="44"/>
      <c r="F82" s="44"/>
      <c r="G82" s="66">
        <f t="shared" si="19"/>
        <v>0</v>
      </c>
      <c r="H82" s="218"/>
      <c r="I82" s="83"/>
    </row>
    <row r="83" spans="1:9" ht="15.75" customHeight="1" x14ac:dyDescent="0.3">
      <c r="A83" s="1303"/>
      <c r="B83" s="1309"/>
      <c r="C83" s="624" t="s">
        <v>191</v>
      </c>
      <c r="D83" s="44"/>
      <c r="E83" s="44"/>
      <c r="F83" s="44"/>
      <c r="G83" s="66">
        <f t="shared" si="19"/>
        <v>0</v>
      </c>
      <c r="H83" s="218"/>
      <c r="I83" s="83"/>
    </row>
    <row r="84" spans="1:9" ht="15.75" customHeight="1" x14ac:dyDescent="0.3">
      <c r="A84" s="1303"/>
      <c r="B84" s="1309"/>
      <c r="C84" s="624" t="s">
        <v>192</v>
      </c>
      <c r="D84" s="44"/>
      <c r="E84" s="44"/>
      <c r="F84" s="44"/>
      <c r="G84" s="66">
        <f t="shared" si="19"/>
        <v>0</v>
      </c>
      <c r="H84" s="218"/>
      <c r="I84" s="83"/>
    </row>
    <row r="85" spans="1:9" ht="15.75" customHeight="1" x14ac:dyDescent="0.3">
      <c r="A85" s="1303"/>
      <c r="B85" s="1309"/>
      <c r="C85" s="624" t="s">
        <v>140</v>
      </c>
      <c r="D85" s="44"/>
      <c r="E85" s="44"/>
      <c r="F85" s="44"/>
      <c r="G85" s="66">
        <f t="shared" si="19"/>
        <v>0</v>
      </c>
      <c r="H85" s="218"/>
      <c r="I85" s="83"/>
    </row>
    <row r="86" spans="1:9" ht="15.75" customHeight="1" x14ac:dyDescent="0.3">
      <c r="A86" s="1303"/>
      <c r="B86" s="1309"/>
      <c r="C86" s="624" t="s">
        <v>137</v>
      </c>
      <c r="D86" s="44"/>
      <c r="E86" s="44"/>
      <c r="F86" s="44"/>
      <c r="G86" s="66">
        <f t="shared" si="19"/>
        <v>0</v>
      </c>
      <c r="H86" s="218"/>
      <c r="I86" s="83"/>
    </row>
    <row r="87" spans="1:9" ht="15.75" customHeight="1" x14ac:dyDescent="0.3">
      <c r="A87" s="1303"/>
      <c r="B87" s="1309"/>
      <c r="C87" s="624" t="s">
        <v>141</v>
      </c>
      <c r="D87" s="44">
        <v>114429700</v>
      </c>
      <c r="E87" s="913">
        <v>99519719</v>
      </c>
      <c r="F87" s="44">
        <v>108392700</v>
      </c>
      <c r="G87" s="44">
        <f t="shared" si="19"/>
        <v>-6037000</v>
      </c>
      <c r="H87" s="218">
        <f t="shared" ref="H87" si="27">G87/D87*100%</f>
        <v>-5.2757282418812598E-2</v>
      </c>
      <c r="I87" s="514"/>
    </row>
    <row r="88" spans="1:9" ht="15.75" customHeight="1" x14ac:dyDescent="0.3">
      <c r="A88" s="1303"/>
      <c r="B88" s="1309"/>
      <c r="C88" s="624" t="s">
        <v>138</v>
      </c>
      <c r="D88" s="44"/>
      <c r="E88" s="44"/>
      <c r="F88" s="44"/>
      <c r="G88" s="66">
        <f t="shared" si="19"/>
        <v>0</v>
      </c>
      <c r="H88" s="218"/>
      <c r="I88" s="83"/>
    </row>
    <row r="89" spans="1:9" ht="15.75" customHeight="1" x14ac:dyDescent="0.3">
      <c r="A89" s="1303"/>
      <c r="B89" s="1309"/>
      <c r="C89" s="624" t="s">
        <v>139</v>
      </c>
      <c r="D89" s="44"/>
      <c r="E89" s="44"/>
      <c r="F89" s="44"/>
      <c r="G89" s="66">
        <f t="shared" si="19"/>
        <v>0</v>
      </c>
      <c r="H89" s="218"/>
      <c r="I89" s="83"/>
    </row>
    <row r="90" spans="1:9" ht="15.75" customHeight="1" x14ac:dyDescent="0.3">
      <c r="A90" s="1303"/>
      <c r="B90" s="1309"/>
      <c r="C90" s="624" t="s">
        <v>136</v>
      </c>
      <c r="D90" s="44"/>
      <c r="E90" s="44"/>
      <c r="F90" s="44"/>
      <c r="G90" s="66">
        <f t="shared" si="19"/>
        <v>0</v>
      </c>
      <c r="H90" s="218"/>
      <c r="I90" s="83"/>
    </row>
    <row r="91" spans="1:9" ht="15.75" customHeight="1" x14ac:dyDescent="0.3">
      <c r="A91" s="1303"/>
      <c r="B91" s="1309"/>
      <c r="C91" s="624" t="s">
        <v>135</v>
      </c>
      <c r="D91" s="44"/>
      <c r="E91" s="44"/>
      <c r="F91" s="44"/>
      <c r="G91" s="66">
        <f t="shared" si="19"/>
        <v>0</v>
      </c>
      <c r="H91" s="218"/>
      <c r="I91" s="83"/>
    </row>
    <row r="92" spans="1:9" ht="15.75" customHeight="1" x14ac:dyDescent="0.3">
      <c r="A92" s="1303"/>
      <c r="B92" s="1309"/>
      <c r="C92" s="624" t="s">
        <v>193</v>
      </c>
      <c r="D92" s="44"/>
      <c r="E92" s="44"/>
      <c r="F92" s="44"/>
      <c r="G92" s="66">
        <f t="shared" si="19"/>
        <v>0</v>
      </c>
      <c r="H92" s="218"/>
      <c r="I92" s="83"/>
    </row>
    <row r="93" spans="1:9" ht="15.75" customHeight="1" x14ac:dyDescent="0.3">
      <c r="A93" s="1303"/>
      <c r="B93" s="1309"/>
      <c r="C93" s="624" t="s">
        <v>239</v>
      </c>
      <c r="D93" s="44"/>
      <c r="E93" s="44"/>
      <c r="F93" s="44"/>
      <c r="G93" s="66">
        <f t="shared" si="19"/>
        <v>0</v>
      </c>
      <c r="H93" s="218"/>
      <c r="I93" s="83"/>
    </row>
    <row r="94" spans="1:9" ht="15.75" customHeight="1" x14ac:dyDescent="0.3">
      <c r="A94" s="1303"/>
      <c r="B94" s="1309"/>
      <c r="C94" s="624" t="s">
        <v>240</v>
      </c>
      <c r="D94" s="44"/>
      <c r="E94" s="44"/>
      <c r="F94" s="44"/>
      <c r="G94" s="66">
        <f t="shared" si="19"/>
        <v>0</v>
      </c>
      <c r="H94" s="218"/>
      <c r="I94" s="83"/>
    </row>
    <row r="95" spans="1:9" ht="15.75" customHeight="1" x14ac:dyDescent="0.3">
      <c r="A95" s="1303"/>
      <c r="B95" s="1309"/>
      <c r="C95" s="624" t="s">
        <v>241</v>
      </c>
      <c r="D95" s="44"/>
      <c r="E95" s="44"/>
      <c r="F95" s="44"/>
      <c r="G95" s="66">
        <f t="shared" si="19"/>
        <v>0</v>
      </c>
      <c r="H95" s="218"/>
      <c r="I95" s="83"/>
    </row>
    <row r="96" spans="1:9" ht="15.75" customHeight="1" x14ac:dyDescent="0.3">
      <c r="A96" s="1303"/>
      <c r="B96" s="1309"/>
      <c r="C96" s="624" t="s">
        <v>242</v>
      </c>
      <c r="D96" s="44"/>
      <c r="E96" s="44"/>
      <c r="F96" s="44"/>
      <c r="G96" s="66">
        <f t="shared" si="19"/>
        <v>0</v>
      </c>
      <c r="H96" s="218"/>
      <c r="I96" s="83"/>
    </row>
    <row r="97" spans="1:9" ht="15.75" customHeight="1" x14ac:dyDescent="0.3">
      <c r="A97" s="1303"/>
      <c r="B97" s="1309"/>
      <c r="C97" s="624" t="s">
        <v>243</v>
      </c>
      <c r="D97" s="44"/>
      <c r="E97" s="44"/>
      <c r="F97" s="44"/>
      <c r="G97" s="66">
        <f t="shared" si="19"/>
        <v>0</v>
      </c>
      <c r="H97" s="218"/>
      <c r="I97" s="83"/>
    </row>
    <row r="98" spans="1:9" ht="16.5" customHeight="1" x14ac:dyDescent="0.3">
      <c r="A98" s="1303"/>
      <c r="B98" s="1309"/>
      <c r="C98" s="624" t="s">
        <v>244</v>
      </c>
      <c r="D98" s="44"/>
      <c r="E98" s="44"/>
      <c r="F98" s="44"/>
      <c r="G98" s="66">
        <f t="shared" si="19"/>
        <v>0</v>
      </c>
      <c r="H98" s="218"/>
      <c r="I98" s="83"/>
    </row>
    <row r="99" spans="1:9" ht="16.5" customHeight="1" x14ac:dyDescent="0.3">
      <c r="A99" s="1303"/>
      <c r="B99" s="1309"/>
      <c r="C99" s="624" t="s">
        <v>245</v>
      </c>
      <c r="D99" s="44"/>
      <c r="E99" s="44"/>
      <c r="F99" s="44"/>
      <c r="G99" s="66">
        <f t="shared" si="19"/>
        <v>0</v>
      </c>
      <c r="H99" s="218"/>
      <c r="I99" s="83"/>
    </row>
    <row r="100" spans="1:9" ht="16.5" customHeight="1" x14ac:dyDescent="0.3">
      <c r="A100" s="1303"/>
      <c r="B100" s="1309"/>
      <c r="C100" s="624" t="s">
        <v>232</v>
      </c>
      <c r="D100" s="44"/>
      <c r="E100" s="44"/>
      <c r="F100" s="44"/>
      <c r="G100" s="66">
        <f t="shared" si="19"/>
        <v>0</v>
      </c>
      <c r="H100" s="218"/>
      <c r="I100" s="83"/>
    </row>
    <row r="101" spans="1:9" ht="16.5" customHeight="1" x14ac:dyDescent="0.3">
      <c r="A101" s="1303"/>
      <c r="B101" s="1309"/>
      <c r="C101" s="624" t="s">
        <v>233</v>
      </c>
      <c r="D101" s="44"/>
      <c r="E101" s="44"/>
      <c r="F101" s="44"/>
      <c r="G101" s="66">
        <f t="shared" si="19"/>
        <v>0</v>
      </c>
      <c r="H101" s="218"/>
      <c r="I101" s="83"/>
    </row>
    <row r="102" spans="1:9" ht="16.5" customHeight="1" x14ac:dyDescent="0.3">
      <c r="A102" s="1303"/>
      <c r="B102" s="1309"/>
      <c r="C102" s="624" t="s">
        <v>234</v>
      </c>
      <c r="D102" s="44"/>
      <c r="E102" s="44"/>
      <c r="F102" s="44"/>
      <c r="G102" s="66">
        <f t="shared" si="19"/>
        <v>0</v>
      </c>
      <c r="H102" s="218"/>
      <c r="I102" s="83"/>
    </row>
    <row r="103" spans="1:9" ht="16.5" customHeight="1" x14ac:dyDescent="0.3">
      <c r="A103" s="1303"/>
      <c r="B103" s="1309"/>
      <c r="C103" s="624" t="s">
        <v>235</v>
      </c>
      <c r="D103" s="44"/>
      <c r="E103" s="44"/>
      <c r="F103" s="44"/>
      <c r="G103" s="66">
        <f t="shared" si="19"/>
        <v>0</v>
      </c>
      <c r="H103" s="218"/>
      <c r="I103" s="83"/>
    </row>
    <row r="104" spans="1:9" ht="17.25" thickBot="1" x14ac:dyDescent="0.35">
      <c r="A104" s="1303"/>
      <c r="B104" s="1310"/>
      <c r="C104" s="478" t="s">
        <v>309</v>
      </c>
      <c r="D104" s="519">
        <f>SUM(D82:D103)</f>
        <v>114429700</v>
      </c>
      <c r="E104" s="519">
        <f>SUM(E82:E103)</f>
        <v>99519719</v>
      </c>
      <c r="F104" s="519">
        <f>SUM(F82:F103)</f>
        <v>108392700</v>
      </c>
      <c r="G104" s="743">
        <f t="shared" si="19"/>
        <v>-6037000</v>
      </c>
      <c r="H104" s="653">
        <f>G104/D104*100%</f>
        <v>-5.2757282418812598E-2</v>
      </c>
      <c r="I104" s="81"/>
    </row>
    <row r="105" spans="1:9" ht="17.25" thickBot="1" x14ac:dyDescent="0.35">
      <c r="A105" s="1304"/>
      <c r="B105" s="1311" t="s">
        <v>13</v>
      </c>
      <c r="C105" s="1311"/>
      <c r="D105" s="629">
        <f>SUM(D81,D104)</f>
        <v>114429700</v>
      </c>
      <c r="E105" s="629">
        <f>SUM(E81,E104)</f>
        <v>99519719</v>
      </c>
      <c r="F105" s="629">
        <f>SUM(F81,F104)</f>
        <v>108392700</v>
      </c>
      <c r="G105" s="605">
        <f t="shared" si="19"/>
        <v>-6037000</v>
      </c>
      <c r="H105" s="653">
        <f>G105/D105*100%</f>
        <v>-5.2757282418812598E-2</v>
      </c>
      <c r="I105" s="573"/>
    </row>
    <row r="106" spans="1:9" x14ac:dyDescent="0.3">
      <c r="A106" s="1303" t="s">
        <v>5</v>
      </c>
      <c r="B106" s="325" t="s">
        <v>5</v>
      </c>
      <c r="C106" s="327" t="s">
        <v>8</v>
      </c>
      <c r="D106" s="216"/>
      <c r="E106" s="69"/>
      <c r="F106" s="77"/>
      <c r="G106" s="36">
        <f t="shared" si="19"/>
        <v>0</v>
      </c>
      <c r="H106" s="167"/>
      <c r="I106" s="37"/>
    </row>
    <row r="107" spans="1:9" ht="17.25" thickBot="1" x14ac:dyDescent="0.35">
      <c r="A107" s="1304"/>
      <c r="B107" s="1482" t="s">
        <v>13</v>
      </c>
      <c r="C107" s="1483"/>
      <c r="D107" s="210">
        <f>D106</f>
        <v>0</v>
      </c>
      <c r="E107" s="210">
        <f t="shared" ref="E107:F107" si="28">E106</f>
        <v>0</v>
      </c>
      <c r="F107" s="210">
        <f t="shared" si="28"/>
        <v>0</v>
      </c>
      <c r="G107" s="158">
        <f t="shared" si="19"/>
        <v>0</v>
      </c>
      <c r="H107" s="166"/>
      <c r="I107" s="42"/>
    </row>
    <row r="108" spans="1:9" x14ac:dyDescent="0.3">
      <c r="A108" s="1286" t="s">
        <v>198</v>
      </c>
      <c r="B108" s="1288" t="s">
        <v>271</v>
      </c>
      <c r="C108" s="618" t="s">
        <v>65</v>
      </c>
      <c r="D108" s="214">
        <v>12550557</v>
      </c>
      <c r="E108" s="914"/>
      <c r="F108" s="214">
        <v>14749227</v>
      </c>
      <c r="G108" s="157">
        <f t="shared" si="19"/>
        <v>2198670</v>
      </c>
      <c r="H108" s="130">
        <f t="shared" ref="H108:H112" si="29">G108/D108*100%</f>
        <v>0.17518505353985483</v>
      </c>
      <c r="I108" s="39"/>
    </row>
    <row r="109" spans="1:9" x14ac:dyDescent="0.3">
      <c r="A109" s="1286"/>
      <c r="B109" s="1289"/>
      <c r="C109" s="619" t="s">
        <v>38</v>
      </c>
      <c r="D109" s="77">
        <v>3693</v>
      </c>
      <c r="E109" s="913"/>
      <c r="F109" s="77">
        <v>3903</v>
      </c>
      <c r="G109" s="36">
        <f t="shared" si="19"/>
        <v>210</v>
      </c>
      <c r="H109" s="130">
        <f t="shared" si="29"/>
        <v>5.686433793663688E-2</v>
      </c>
      <c r="I109" s="37"/>
    </row>
    <row r="110" spans="1:9" ht="17.25" thickBot="1" x14ac:dyDescent="0.35">
      <c r="A110" s="1461"/>
      <c r="B110" s="1480" t="s">
        <v>13</v>
      </c>
      <c r="C110" s="1481"/>
      <c r="D110" s="301">
        <f>SUM(D108:D109)</f>
        <v>12554250</v>
      </c>
      <c r="E110" s="301">
        <f t="shared" ref="E110:F110" si="30">SUM(E108:E109)</f>
        <v>0</v>
      </c>
      <c r="F110" s="301">
        <f t="shared" si="30"/>
        <v>14753130</v>
      </c>
      <c r="G110" s="40">
        <f t="shared" si="19"/>
        <v>2198880</v>
      </c>
      <c r="H110" s="233">
        <f t="shared" si="29"/>
        <v>0.17515024792400979</v>
      </c>
      <c r="I110" s="42"/>
    </row>
    <row r="111" spans="1:9" ht="17.25" thickBot="1" x14ac:dyDescent="0.35">
      <c r="A111" s="663" t="s">
        <v>43</v>
      </c>
      <c r="B111" s="664" t="s">
        <v>43</v>
      </c>
      <c r="C111" s="665" t="s">
        <v>68</v>
      </c>
      <c r="D111" s="666"/>
      <c r="E111" s="667"/>
      <c r="F111" s="668"/>
      <c r="G111" s="646">
        <f t="shared" si="19"/>
        <v>0</v>
      </c>
      <c r="H111" s="647"/>
      <c r="I111" s="648"/>
    </row>
    <row r="112" spans="1:9" ht="17.25" thickBot="1" x14ac:dyDescent="0.35">
      <c r="A112" s="1391" t="s">
        <v>41</v>
      </c>
      <c r="B112" s="1392"/>
      <c r="C112" s="1393"/>
      <c r="D112" s="302">
        <f>SUM(D71,D75,D105,D107,D110,D111)</f>
        <v>253268000</v>
      </c>
      <c r="E112" s="302">
        <f>SUM(E71,E75,E105,E107,E110,E111)</f>
        <v>211290128</v>
      </c>
      <c r="F112" s="302">
        <f>SUM(F71,F75,F105,F107,F110,F111)</f>
        <v>247450000</v>
      </c>
      <c r="G112" s="606">
        <f t="shared" si="19"/>
        <v>-5818000</v>
      </c>
      <c r="H112" s="523">
        <f t="shared" si="29"/>
        <v>-2.2971713757758579E-2</v>
      </c>
      <c r="I112" s="78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2:I112"/>
  <sheetViews>
    <sheetView topLeftCell="A13" workbookViewId="0">
      <selection activeCell="I106" sqref="I106"/>
    </sheetView>
  </sheetViews>
  <sheetFormatPr defaultRowHeight="16.5" x14ac:dyDescent="0.3"/>
  <cols>
    <col min="1" max="1" width="13.125" customWidth="1"/>
    <col min="2" max="2" width="15" customWidth="1"/>
    <col min="3" max="3" width="25.5" customWidth="1"/>
    <col min="4" max="4" width="18.125" customWidth="1"/>
    <col min="5" max="6" width="18.375" customWidth="1"/>
    <col min="7" max="7" width="18.125" customWidth="1"/>
    <col min="9" max="9" width="46.25" customWidth="1"/>
  </cols>
  <sheetData>
    <row r="2" spans="1:9" ht="28.15" customHeight="1" x14ac:dyDescent="0.3">
      <c r="A2" s="1464" t="s">
        <v>225</v>
      </c>
      <c r="B2" s="1465"/>
      <c r="C2" s="1465"/>
      <c r="D2" s="1465"/>
      <c r="E2" s="1465"/>
      <c r="F2" s="1465"/>
      <c r="G2" s="1465"/>
      <c r="H2" s="1465"/>
      <c r="I2" s="1465"/>
    </row>
    <row r="3" spans="1:9" ht="16.5" customHeight="1" x14ac:dyDescent="0.3">
      <c r="A3" s="1435" t="s">
        <v>412</v>
      </c>
      <c r="B3" s="1435"/>
      <c r="C3" s="1435"/>
      <c r="D3" s="1435"/>
      <c r="E3" s="1435"/>
      <c r="F3" s="1435"/>
      <c r="G3" s="1435"/>
      <c r="H3" s="1435"/>
      <c r="I3" s="1435"/>
    </row>
    <row r="4" spans="1:9" ht="16.5" customHeight="1" x14ac:dyDescent="0.3">
      <c r="A4" s="1435"/>
      <c r="B4" s="1435"/>
      <c r="C4" s="1435"/>
      <c r="D4" s="1435"/>
      <c r="E4" s="1435"/>
      <c r="F4" s="1435"/>
      <c r="G4" s="1435"/>
      <c r="H4" s="1435"/>
      <c r="I4" s="1435"/>
    </row>
    <row r="5" spans="1:9" ht="17.25" thickBot="1" x14ac:dyDescent="0.35">
      <c r="A5" s="1466" t="s">
        <v>129</v>
      </c>
      <c r="B5" s="1466"/>
      <c r="C5" s="1466"/>
      <c r="D5" s="1466"/>
      <c r="E5" s="1466"/>
      <c r="F5" s="1466"/>
      <c r="G5" s="1466"/>
      <c r="H5" s="1466"/>
      <c r="I5" s="1466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396</v>
      </c>
      <c r="F6" s="1273" t="s">
        <v>318</v>
      </c>
      <c r="G6" s="1273" t="s">
        <v>59</v>
      </c>
      <c r="H6" s="127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276"/>
      <c r="I7" s="1278"/>
    </row>
    <row r="8" spans="1:9" ht="20.25" customHeight="1" x14ac:dyDescent="0.3">
      <c r="A8" s="1364" t="s">
        <v>165</v>
      </c>
      <c r="B8" s="1309" t="s">
        <v>166</v>
      </c>
      <c r="C8" s="319" t="s">
        <v>147</v>
      </c>
      <c r="D8" s="236"/>
      <c r="E8" s="236"/>
      <c r="F8" s="236"/>
      <c r="G8" s="243">
        <f>F8-D8</f>
        <v>0</v>
      </c>
      <c r="H8" s="237"/>
      <c r="I8" s="293"/>
    </row>
    <row r="9" spans="1:9" ht="20.25" customHeight="1" x14ac:dyDescent="0.3">
      <c r="A9" s="1364"/>
      <c r="B9" s="1309"/>
      <c r="C9" s="320" t="s">
        <v>150</v>
      </c>
      <c r="D9" s="231"/>
      <c r="E9" s="231"/>
      <c r="F9" s="231"/>
      <c r="G9" s="243">
        <f t="shared" ref="G9:G20" si="0">F9-D9</f>
        <v>0</v>
      </c>
      <c r="H9" s="234"/>
      <c r="I9" s="294"/>
    </row>
    <row r="10" spans="1:9" ht="20.25" customHeight="1" x14ac:dyDescent="0.3">
      <c r="A10" s="1364"/>
      <c r="B10" s="1309"/>
      <c r="C10" s="320" t="s">
        <v>151</v>
      </c>
      <c r="D10" s="231"/>
      <c r="E10" s="231"/>
      <c r="F10" s="231"/>
      <c r="G10" s="243">
        <f t="shared" si="0"/>
        <v>0</v>
      </c>
      <c r="H10" s="234"/>
      <c r="I10" s="294"/>
    </row>
    <row r="11" spans="1:9" ht="20.25" customHeight="1" x14ac:dyDescent="0.3">
      <c r="A11" s="1364"/>
      <c r="B11" s="1309"/>
      <c r="C11" s="320" t="s">
        <v>152</v>
      </c>
      <c r="D11" s="231"/>
      <c r="E11" s="231"/>
      <c r="F11" s="231"/>
      <c r="G11" s="243">
        <f t="shared" si="0"/>
        <v>0</v>
      </c>
      <c r="H11" s="234"/>
      <c r="I11" s="294"/>
    </row>
    <row r="12" spans="1:9" ht="20.25" customHeight="1" x14ac:dyDescent="0.3">
      <c r="A12" s="1364"/>
      <c r="B12" s="1288"/>
      <c r="C12" s="320" t="s">
        <v>153</v>
      </c>
      <c r="D12" s="231"/>
      <c r="E12" s="231"/>
      <c r="F12" s="231"/>
      <c r="G12" s="243">
        <f t="shared" si="0"/>
        <v>0</v>
      </c>
      <c r="H12" s="234"/>
      <c r="I12" s="294"/>
    </row>
    <row r="13" spans="1:9" ht="18" thickBot="1" x14ac:dyDescent="0.35">
      <c r="A13" s="1365"/>
      <c r="B13" s="1374" t="s">
        <v>13</v>
      </c>
      <c r="C13" s="1374"/>
      <c r="D13" s="232">
        <f>SUM(D8:D12)</f>
        <v>0</v>
      </c>
      <c r="E13" s="232">
        <f t="shared" ref="E13:F13" si="1">SUM(E8:E12)</f>
        <v>0</v>
      </c>
      <c r="F13" s="232">
        <f t="shared" si="1"/>
        <v>0</v>
      </c>
      <c r="G13" s="244">
        <f t="shared" si="0"/>
        <v>0</v>
      </c>
      <c r="H13" s="235"/>
      <c r="I13" s="295"/>
    </row>
    <row r="14" spans="1:9" ht="24" customHeight="1" x14ac:dyDescent="0.3">
      <c r="A14" s="1401" t="s">
        <v>3</v>
      </c>
      <c r="B14" s="1309" t="s">
        <v>3</v>
      </c>
      <c r="C14" s="319" t="s">
        <v>142</v>
      </c>
      <c r="D14" s="236"/>
      <c r="E14" s="236"/>
      <c r="F14" s="236"/>
      <c r="G14" s="243">
        <f t="shared" si="0"/>
        <v>0</v>
      </c>
      <c r="H14" s="237"/>
      <c r="I14" s="296"/>
    </row>
    <row r="15" spans="1:9" ht="24" customHeight="1" x14ac:dyDescent="0.3">
      <c r="A15" s="1401"/>
      <c r="B15" s="1309"/>
      <c r="C15" s="320" t="s">
        <v>143</v>
      </c>
      <c r="D15" s="231"/>
      <c r="E15" s="231"/>
      <c r="F15" s="231"/>
      <c r="G15" s="243">
        <f t="shared" si="0"/>
        <v>0</v>
      </c>
      <c r="H15" s="234"/>
      <c r="I15" s="297"/>
    </row>
    <row r="16" spans="1:9" ht="19.5" customHeight="1" x14ac:dyDescent="0.3">
      <c r="A16" s="1401"/>
      <c r="B16" s="1309"/>
      <c r="C16" s="320" t="s">
        <v>144</v>
      </c>
      <c r="D16" s="231"/>
      <c r="E16" s="231"/>
      <c r="F16" s="231"/>
      <c r="G16" s="243">
        <f t="shared" si="0"/>
        <v>0</v>
      </c>
      <c r="H16" s="234"/>
      <c r="I16" s="297"/>
    </row>
    <row r="17" spans="1:9" ht="19.5" customHeight="1" x14ac:dyDescent="0.3">
      <c r="A17" s="1401"/>
      <c r="B17" s="1309"/>
      <c r="C17" s="320" t="s">
        <v>145</v>
      </c>
      <c r="D17" s="231"/>
      <c r="E17" s="231"/>
      <c r="F17" s="231"/>
      <c r="G17" s="243">
        <f t="shared" si="0"/>
        <v>0</v>
      </c>
      <c r="H17" s="234"/>
      <c r="I17" s="297"/>
    </row>
    <row r="18" spans="1:9" ht="19.5" customHeight="1" x14ac:dyDescent="0.3">
      <c r="A18" s="1401"/>
      <c r="B18" s="1309"/>
      <c r="C18" s="319" t="s">
        <v>146</v>
      </c>
      <c r="D18" s="231"/>
      <c r="E18" s="231"/>
      <c r="F18" s="231"/>
      <c r="G18" s="243">
        <f t="shared" si="0"/>
        <v>0</v>
      </c>
      <c r="H18" s="234"/>
      <c r="I18" s="294"/>
    </row>
    <row r="19" spans="1:9" ht="19.5" customHeight="1" x14ac:dyDescent="0.3">
      <c r="A19" s="1401"/>
      <c r="B19" s="1309"/>
      <c r="C19" s="146" t="s">
        <v>148</v>
      </c>
      <c r="D19" s="231"/>
      <c r="E19" s="231"/>
      <c r="F19" s="231"/>
      <c r="G19" s="243">
        <f t="shared" si="0"/>
        <v>0</v>
      </c>
      <c r="H19" s="234"/>
      <c r="I19" s="294"/>
    </row>
    <row r="20" spans="1:9" ht="19.5" customHeight="1" x14ac:dyDescent="0.3">
      <c r="A20" s="1401"/>
      <c r="B20" s="1309"/>
      <c r="C20" s="146" t="s">
        <v>149</v>
      </c>
      <c r="D20" s="231"/>
      <c r="E20" s="231"/>
      <c r="F20" s="231"/>
      <c r="G20" s="243">
        <f t="shared" si="0"/>
        <v>0</v>
      </c>
      <c r="H20" s="234"/>
      <c r="I20" s="294"/>
    </row>
    <row r="21" spans="1:9" ht="19.5" customHeight="1" x14ac:dyDescent="0.3">
      <c r="A21" s="1401"/>
      <c r="B21" s="1288"/>
      <c r="C21" s="146" t="s">
        <v>167</v>
      </c>
      <c r="D21" s="65"/>
      <c r="E21" s="65"/>
      <c r="F21" s="35"/>
      <c r="G21" s="36">
        <f>F21-D21</f>
        <v>0</v>
      </c>
      <c r="H21" s="130"/>
      <c r="I21" s="37"/>
    </row>
    <row r="22" spans="1:9" ht="17.25" thickBot="1" x14ac:dyDescent="0.35">
      <c r="A22" s="1460"/>
      <c r="B22" s="1403" t="s">
        <v>13</v>
      </c>
      <c r="C22" s="1404"/>
      <c r="D22" s="40">
        <f>SUM(D14:D21)</f>
        <v>0</v>
      </c>
      <c r="E22" s="40">
        <f t="shared" ref="E22:F22" si="2">SUM(E14:E21)</f>
        <v>0</v>
      </c>
      <c r="F22" s="40">
        <f t="shared" si="2"/>
        <v>0</v>
      </c>
      <c r="G22" s="133">
        <f t="shared" ref="G22:G48" si="3">F22-D22</f>
        <v>0</v>
      </c>
      <c r="H22" s="134"/>
      <c r="I22" s="41"/>
    </row>
    <row r="23" spans="1:9" ht="15.75" customHeight="1" x14ac:dyDescent="0.3">
      <c r="A23" s="1371" t="s">
        <v>159</v>
      </c>
      <c r="B23" s="1308" t="s">
        <v>159</v>
      </c>
      <c r="C23" s="147" t="s">
        <v>113</v>
      </c>
      <c r="D23" s="70"/>
      <c r="E23" s="70"/>
      <c r="F23" s="71"/>
      <c r="G23" s="160">
        <f t="shared" si="3"/>
        <v>0</v>
      </c>
      <c r="H23" s="449"/>
      <c r="I23" s="79"/>
    </row>
    <row r="24" spans="1:9" ht="15.75" customHeight="1" x14ac:dyDescent="0.3">
      <c r="A24" s="1372"/>
      <c r="B24" s="1309"/>
      <c r="C24" s="320" t="s">
        <v>63</v>
      </c>
      <c r="D24" s="44">
        <v>98630000</v>
      </c>
      <c r="E24" s="44">
        <v>86706090</v>
      </c>
      <c r="F24" s="884">
        <v>98630000</v>
      </c>
      <c r="G24" s="161">
        <f t="shared" si="3"/>
        <v>0</v>
      </c>
      <c r="H24" s="669">
        <f t="shared" ref="H24:H27" si="4">G24/D24*100%</f>
        <v>0</v>
      </c>
      <c r="I24" s="80"/>
    </row>
    <row r="25" spans="1:9" ht="15.75" customHeight="1" x14ac:dyDescent="0.3">
      <c r="A25" s="1372"/>
      <c r="B25" s="1309"/>
      <c r="C25" s="320" t="s">
        <v>30</v>
      </c>
      <c r="D25" s="44"/>
      <c r="E25" s="44"/>
      <c r="F25" s="66"/>
      <c r="G25" s="161">
        <f t="shared" si="3"/>
        <v>0</v>
      </c>
      <c r="H25" s="669"/>
      <c r="I25" s="80"/>
    </row>
    <row r="26" spans="1:9" ht="15.75" customHeight="1" x14ac:dyDescent="0.3">
      <c r="A26" s="1372"/>
      <c r="B26" s="1288"/>
      <c r="C26" s="320" t="s">
        <v>64</v>
      </c>
      <c r="D26" s="44"/>
      <c r="E26" s="44"/>
      <c r="F26" s="66"/>
      <c r="G26" s="161">
        <f t="shared" si="3"/>
        <v>0</v>
      </c>
      <c r="H26" s="669"/>
      <c r="I26" s="80"/>
    </row>
    <row r="27" spans="1:9" ht="17.25" thickBot="1" x14ac:dyDescent="0.35">
      <c r="A27" s="1373"/>
      <c r="B27" s="1368" t="s">
        <v>13</v>
      </c>
      <c r="C27" s="1394"/>
      <c r="D27" s="519">
        <f>SUM(D23:D26)</f>
        <v>98630000</v>
      </c>
      <c r="E27" s="519">
        <f t="shared" ref="E27:F27" si="5">SUM(E23:E26)</f>
        <v>86706090</v>
      </c>
      <c r="F27" s="519">
        <f t="shared" si="5"/>
        <v>98630000</v>
      </c>
      <c r="G27" s="628">
        <f t="shared" si="3"/>
        <v>0</v>
      </c>
      <c r="H27" s="670">
        <f t="shared" si="4"/>
        <v>0</v>
      </c>
      <c r="I27" s="81"/>
    </row>
    <row r="28" spans="1:9" ht="18" customHeight="1" x14ac:dyDescent="0.3">
      <c r="A28" s="1325" t="s">
        <v>161</v>
      </c>
      <c r="B28" s="1288" t="s">
        <v>161</v>
      </c>
      <c r="C28" s="151" t="s">
        <v>6</v>
      </c>
      <c r="D28" s="69"/>
      <c r="E28" s="69"/>
      <c r="F28" s="69"/>
      <c r="G28" s="36">
        <f t="shared" si="3"/>
        <v>0</v>
      </c>
      <c r="H28" s="130"/>
      <c r="I28" s="82"/>
    </row>
    <row r="29" spans="1:9" ht="18" customHeight="1" x14ac:dyDescent="0.3">
      <c r="A29" s="1326"/>
      <c r="B29" s="1289"/>
      <c r="C29" s="151" t="s">
        <v>7</v>
      </c>
      <c r="D29" s="65"/>
      <c r="E29" s="65"/>
      <c r="F29" s="36"/>
      <c r="G29" s="36">
        <f t="shared" si="3"/>
        <v>0</v>
      </c>
      <c r="H29" s="130"/>
      <c r="I29" s="37"/>
    </row>
    <row r="30" spans="1:9" ht="17.25" thickBot="1" x14ac:dyDescent="0.35">
      <c r="A30" s="1327"/>
      <c r="B30" s="1374" t="s">
        <v>13</v>
      </c>
      <c r="C30" s="1374"/>
      <c r="D30" s="67">
        <f>SUM(D28:D29)</f>
        <v>0</v>
      </c>
      <c r="E30" s="67">
        <f t="shared" ref="E30:F30" si="6">SUM(E28:E29)</f>
        <v>0</v>
      </c>
      <c r="F30" s="292">
        <f t="shared" si="6"/>
        <v>0</v>
      </c>
      <c r="G30" s="292">
        <f t="shared" si="3"/>
        <v>0</v>
      </c>
      <c r="H30" s="238"/>
      <c r="I30" s="42"/>
    </row>
    <row r="31" spans="1:9" ht="21.75" customHeight="1" x14ac:dyDescent="0.3">
      <c r="A31" s="1370" t="s">
        <v>163</v>
      </c>
      <c r="B31" s="1308" t="s">
        <v>163</v>
      </c>
      <c r="C31" s="147" t="s">
        <v>154</v>
      </c>
      <c r="D31" s="71"/>
      <c r="E31" s="71"/>
      <c r="F31" s="69"/>
      <c r="G31" s="69">
        <f t="shared" si="3"/>
        <v>0</v>
      </c>
      <c r="H31" s="222"/>
      <c r="I31" s="79"/>
    </row>
    <row r="32" spans="1:9" ht="21.75" customHeight="1" x14ac:dyDescent="0.3">
      <c r="A32" s="1364"/>
      <c r="B32" s="1288"/>
      <c r="C32" s="320" t="s">
        <v>155</v>
      </c>
      <c r="D32" s="66"/>
      <c r="E32" s="66"/>
      <c r="F32" s="66"/>
      <c r="G32" s="66">
        <f t="shared" si="3"/>
        <v>0</v>
      </c>
      <c r="H32" s="218"/>
      <c r="I32" s="83"/>
    </row>
    <row r="33" spans="1:9" ht="17.25" thickBot="1" x14ac:dyDescent="0.35">
      <c r="A33" s="1365"/>
      <c r="B33" s="321"/>
      <c r="C33" s="321" t="s">
        <v>13</v>
      </c>
      <c r="D33" s="73">
        <f>SUM(D31:D32)</f>
        <v>0</v>
      </c>
      <c r="E33" s="73">
        <f t="shared" ref="E33:F33" si="7">SUM(E31:E32)</f>
        <v>0</v>
      </c>
      <c r="F33" s="73">
        <f t="shared" si="7"/>
        <v>0</v>
      </c>
      <c r="G33" s="40">
        <f t="shared" si="3"/>
        <v>0</v>
      </c>
      <c r="H33" s="233"/>
      <c r="I33" s="81"/>
    </row>
    <row r="34" spans="1:9" ht="20.25" customHeight="1" x14ac:dyDescent="0.3">
      <c r="A34" s="326"/>
      <c r="B34" s="1309" t="s">
        <v>4</v>
      </c>
      <c r="C34" s="319" t="s">
        <v>183</v>
      </c>
      <c r="D34" s="69"/>
      <c r="E34" s="69"/>
      <c r="F34" s="69"/>
      <c r="G34" s="450">
        <f t="shared" si="3"/>
        <v>0</v>
      </c>
      <c r="H34" s="651"/>
      <c r="I34" s="240"/>
    </row>
    <row r="35" spans="1:9" ht="20.25" customHeight="1" x14ac:dyDescent="0.3">
      <c r="A35" s="1303" t="s">
        <v>4</v>
      </c>
      <c r="B35" s="1288"/>
      <c r="C35" s="146" t="s">
        <v>184</v>
      </c>
      <c r="D35" s="66"/>
      <c r="E35" s="66"/>
      <c r="F35" s="44"/>
      <c r="G35" s="69">
        <f t="shared" si="3"/>
        <v>0</v>
      </c>
      <c r="H35" s="222"/>
      <c r="I35" s="83"/>
    </row>
    <row r="36" spans="1:9" ht="17.25" thickBot="1" x14ac:dyDescent="0.35">
      <c r="A36" s="1304"/>
      <c r="B36" s="1399" t="s">
        <v>13</v>
      </c>
      <c r="C36" s="1400"/>
      <c r="D36" s="241">
        <f>SUM(D34:D35)</f>
        <v>0</v>
      </c>
      <c r="E36" s="241">
        <f t="shared" ref="E36:F36" si="8">SUM(E34:E35)</f>
        <v>0</v>
      </c>
      <c r="F36" s="241">
        <f t="shared" si="8"/>
        <v>0</v>
      </c>
      <c r="G36" s="158">
        <f t="shared" si="3"/>
        <v>0</v>
      </c>
      <c r="H36" s="166"/>
      <c r="I36" s="42"/>
    </row>
    <row r="37" spans="1:9" ht="21.75" customHeight="1" x14ac:dyDescent="0.3">
      <c r="A37" s="1302" t="s">
        <v>170</v>
      </c>
      <c r="B37" s="1308" t="s">
        <v>170</v>
      </c>
      <c r="C37" s="149" t="s">
        <v>9</v>
      </c>
      <c r="D37" s="68">
        <v>968</v>
      </c>
      <c r="E37" s="68">
        <v>968</v>
      </c>
      <c r="F37" s="43">
        <v>968</v>
      </c>
      <c r="G37" s="36">
        <f t="shared" si="3"/>
        <v>0</v>
      </c>
      <c r="H37" s="130">
        <f t="shared" ref="H37" si="9">G37/D37*100%</f>
        <v>0</v>
      </c>
      <c r="I37" s="74"/>
    </row>
    <row r="38" spans="1:9" ht="21.75" customHeight="1" x14ac:dyDescent="0.3">
      <c r="A38" s="1303"/>
      <c r="B38" s="1288"/>
      <c r="C38" s="146" t="s">
        <v>174</v>
      </c>
      <c r="D38" s="75"/>
      <c r="E38" s="75"/>
      <c r="F38" s="133"/>
      <c r="G38" s="36">
        <f t="shared" si="3"/>
        <v>0</v>
      </c>
      <c r="H38" s="134"/>
      <c r="I38" s="239"/>
    </row>
    <row r="39" spans="1:9" ht="17.25" thickBot="1" x14ac:dyDescent="0.35">
      <c r="A39" s="1303"/>
      <c r="B39" s="1312" t="s">
        <v>13</v>
      </c>
      <c r="C39" s="1313"/>
      <c r="D39" s="519">
        <f>SUM(D37:D38)</f>
        <v>968</v>
      </c>
      <c r="E39" s="519">
        <f t="shared" ref="E39:F39" si="10">SUM(E37:E38)</f>
        <v>968</v>
      </c>
      <c r="F39" s="519">
        <f t="shared" si="10"/>
        <v>968</v>
      </c>
      <c r="G39" s="520">
        <f t="shared" si="3"/>
        <v>0</v>
      </c>
      <c r="H39" s="653">
        <f>G39/D39*100%</f>
        <v>0</v>
      </c>
      <c r="I39" s="83"/>
    </row>
    <row r="40" spans="1:9" ht="15.75" customHeight="1" x14ac:dyDescent="0.3">
      <c r="A40" s="1457" t="s">
        <v>172</v>
      </c>
      <c r="B40" s="1288" t="s">
        <v>172</v>
      </c>
      <c r="C40" s="618" t="s">
        <v>351</v>
      </c>
      <c r="D40" s="69"/>
      <c r="E40" s="69"/>
      <c r="F40" s="221"/>
      <c r="G40" s="36">
        <f t="shared" si="3"/>
        <v>0</v>
      </c>
      <c r="H40" s="222"/>
      <c r="I40" s="83"/>
    </row>
    <row r="41" spans="1:9" ht="15.75" customHeight="1" x14ac:dyDescent="0.3">
      <c r="A41" s="1457"/>
      <c r="B41" s="1288"/>
      <c r="C41" s="618" t="s">
        <v>173</v>
      </c>
      <c r="D41" s="884">
        <v>9032</v>
      </c>
      <c r="E41" s="884">
        <v>597</v>
      </c>
      <c r="F41" s="44">
        <v>9032</v>
      </c>
      <c r="G41" s="36">
        <f t="shared" si="3"/>
        <v>0</v>
      </c>
      <c r="H41" s="218">
        <f t="shared" ref="H41:H44" si="11">G41/D41*100%</f>
        <v>0</v>
      </c>
      <c r="I41" s="83"/>
    </row>
    <row r="42" spans="1:9" ht="15.75" customHeight="1" x14ac:dyDescent="0.3">
      <c r="A42" s="1457"/>
      <c r="B42" s="1289"/>
      <c r="C42" s="619" t="s">
        <v>175</v>
      </c>
      <c r="D42" s="66"/>
      <c r="E42" s="66"/>
      <c r="F42" s="44"/>
      <c r="G42" s="36">
        <f t="shared" si="3"/>
        <v>0</v>
      </c>
      <c r="H42" s="218"/>
      <c r="I42" s="83"/>
    </row>
    <row r="43" spans="1:9" ht="15.75" customHeight="1" x14ac:dyDescent="0.3">
      <c r="A43" s="1457"/>
      <c r="B43" s="1289"/>
      <c r="C43" s="619" t="s">
        <v>10</v>
      </c>
      <c r="D43" s="66"/>
      <c r="E43" s="66"/>
      <c r="F43" s="44"/>
      <c r="G43" s="36">
        <f t="shared" si="3"/>
        <v>0</v>
      </c>
      <c r="H43" s="218"/>
      <c r="I43" s="83"/>
    </row>
    <row r="44" spans="1:9" ht="17.25" thickBot="1" x14ac:dyDescent="0.35">
      <c r="A44" s="1458"/>
      <c r="B44" s="1374" t="s">
        <v>13</v>
      </c>
      <c r="C44" s="1374"/>
      <c r="D44" s="519">
        <f>SUM(D40:D43)</f>
        <v>9032</v>
      </c>
      <c r="E44" s="519">
        <f t="shared" ref="E44:F44" si="12">SUM(E40:E43)</f>
        <v>597</v>
      </c>
      <c r="F44" s="519">
        <f t="shared" si="12"/>
        <v>9032</v>
      </c>
      <c r="G44" s="520">
        <f t="shared" si="3"/>
        <v>0</v>
      </c>
      <c r="H44" s="653">
        <f t="shared" si="11"/>
        <v>0</v>
      </c>
      <c r="I44" s="81"/>
    </row>
    <row r="45" spans="1:9" ht="21" customHeight="1" x14ac:dyDescent="0.3">
      <c r="A45" s="1325" t="s">
        <v>176</v>
      </c>
      <c r="B45" s="1288" t="s">
        <v>177</v>
      </c>
      <c r="C45" s="618" t="s">
        <v>178</v>
      </c>
      <c r="D45" s="69"/>
      <c r="E45" s="69"/>
      <c r="F45" s="221"/>
      <c r="G45" s="36">
        <f t="shared" si="3"/>
        <v>0</v>
      </c>
      <c r="H45" s="222"/>
      <c r="I45" s="240"/>
    </row>
    <row r="46" spans="1:9" ht="27.6" customHeight="1" x14ac:dyDescent="0.3">
      <c r="A46" s="1326"/>
      <c r="B46" s="1289"/>
      <c r="C46" s="320" t="s">
        <v>179</v>
      </c>
      <c r="D46" s="66"/>
      <c r="E46" s="66"/>
      <c r="F46" s="44"/>
      <c r="G46" s="36">
        <f t="shared" si="3"/>
        <v>0</v>
      </c>
      <c r="H46" s="218"/>
      <c r="I46" s="83"/>
    </row>
    <row r="47" spans="1:9" ht="17.25" thickBot="1" x14ac:dyDescent="0.35">
      <c r="A47" s="1459"/>
      <c r="B47" s="1390" t="s">
        <v>13</v>
      </c>
      <c r="C47" s="1390"/>
      <c r="D47" s="131">
        <f>SUM(D45:D46)</f>
        <v>0</v>
      </c>
      <c r="E47" s="131">
        <f t="shared" ref="E47:F47" si="13">SUM(E45:E46)</f>
        <v>0</v>
      </c>
      <c r="F47" s="131">
        <f t="shared" si="13"/>
        <v>0</v>
      </c>
      <c r="G47" s="133">
        <f t="shared" si="3"/>
        <v>0</v>
      </c>
      <c r="H47" s="218"/>
      <c r="I47" s="135"/>
    </row>
    <row r="48" spans="1:9" ht="17.25" thickBot="1" x14ac:dyDescent="0.35">
      <c r="A48" s="1391" t="s">
        <v>41</v>
      </c>
      <c r="B48" s="1392"/>
      <c r="C48" s="1393"/>
      <c r="D48" s="302">
        <f>SUM(D22,D27,D30,D36,D39,D44,D47)</f>
        <v>98640000</v>
      </c>
      <c r="E48" s="302">
        <f t="shared" ref="E48:F48" si="14">SUM(E22,E27,E30,E36,E39,E44,E47)</f>
        <v>86707655</v>
      </c>
      <c r="F48" s="302">
        <f t="shared" si="14"/>
        <v>98640000</v>
      </c>
      <c r="G48" s="302">
        <f t="shared" si="3"/>
        <v>0</v>
      </c>
      <c r="H48" s="523">
        <f>G48/D48*100%</f>
        <v>0</v>
      </c>
      <c r="I48" s="78"/>
    </row>
    <row r="49" spans="1:9" ht="17.25" thickBot="1" x14ac:dyDescent="0.35">
      <c r="A49" s="1475" t="s">
        <v>66</v>
      </c>
      <c r="B49" s="1340"/>
      <c r="C49" s="1340"/>
      <c r="D49" s="1340"/>
      <c r="E49" s="1340"/>
      <c r="F49" s="1340"/>
      <c r="G49" s="1340"/>
      <c r="H49" s="1340"/>
      <c r="I49" s="1476"/>
    </row>
    <row r="50" spans="1:9" ht="17.45" customHeight="1" x14ac:dyDescent="0.3">
      <c r="A50" s="1314" t="s">
        <v>29</v>
      </c>
      <c r="B50" s="1315"/>
      <c r="C50" s="1315"/>
      <c r="D50" s="1273" t="s">
        <v>237</v>
      </c>
      <c r="E50" s="1273" t="s">
        <v>394</v>
      </c>
      <c r="F50" s="1273" t="s">
        <v>318</v>
      </c>
      <c r="G50" s="1273" t="s">
        <v>59</v>
      </c>
      <c r="H50" s="1275" t="s">
        <v>49</v>
      </c>
      <c r="I50" s="1277" t="s">
        <v>61</v>
      </c>
    </row>
    <row r="51" spans="1:9" ht="18" customHeight="1" thickBot="1" x14ac:dyDescent="0.35">
      <c r="A51" s="84" t="s">
        <v>0</v>
      </c>
      <c r="B51" s="136" t="s">
        <v>1</v>
      </c>
      <c r="C51" s="136" t="s">
        <v>2</v>
      </c>
      <c r="D51" s="1274"/>
      <c r="E51" s="1274"/>
      <c r="F51" s="1274"/>
      <c r="G51" s="1274"/>
      <c r="H51" s="1276"/>
      <c r="I51" s="1278"/>
    </row>
    <row r="52" spans="1:9" x14ac:dyDescent="0.3">
      <c r="A52" s="159" t="s">
        <v>185</v>
      </c>
      <c r="B52" s="1323" t="s">
        <v>186</v>
      </c>
      <c r="C52" s="536" t="s">
        <v>17</v>
      </c>
      <c r="D52" s="35">
        <v>58242000</v>
      </c>
      <c r="E52" s="35">
        <v>53388500</v>
      </c>
      <c r="F52" s="35">
        <v>58242000</v>
      </c>
      <c r="G52" s="155">
        <f>F52-D52</f>
        <v>0</v>
      </c>
      <c r="H52" s="453">
        <f>G52/D52*100%</f>
        <v>0</v>
      </c>
      <c r="I52" s="544"/>
    </row>
    <row r="53" spans="1:9" x14ac:dyDescent="0.3">
      <c r="A53" s="64"/>
      <c r="B53" s="1289"/>
      <c r="C53" s="150" t="s">
        <v>32</v>
      </c>
      <c r="D53" s="35">
        <v>7835900</v>
      </c>
      <c r="E53" s="35">
        <v>7538700</v>
      </c>
      <c r="F53" s="35">
        <v>7738700</v>
      </c>
      <c r="G53" s="35">
        <f t="shared" ref="G53:G57" si="15">F53-D53</f>
        <v>-97200</v>
      </c>
      <c r="H53" s="130">
        <f t="shared" ref="H53:H55" si="16">G53/D53*100%</f>
        <v>-1.2404446202733573E-2</v>
      </c>
      <c r="I53" s="37"/>
    </row>
    <row r="54" spans="1:9" x14ac:dyDescent="0.3">
      <c r="A54" s="64"/>
      <c r="B54" s="1289"/>
      <c r="C54" s="150" t="s">
        <v>180</v>
      </c>
      <c r="D54" s="36"/>
      <c r="E54" s="36"/>
      <c r="F54" s="35"/>
      <c r="G54" s="36">
        <f t="shared" si="15"/>
        <v>0</v>
      </c>
      <c r="H54" s="130"/>
      <c r="I54" s="37"/>
    </row>
    <row r="55" spans="1:9" ht="19.5" customHeight="1" x14ac:dyDescent="0.3">
      <c r="A55" s="64"/>
      <c r="B55" s="1289"/>
      <c r="C55" s="150" t="s">
        <v>84</v>
      </c>
      <c r="D55" s="35">
        <v>4853640</v>
      </c>
      <c r="E55" s="35">
        <v>4449170</v>
      </c>
      <c r="F55" s="35">
        <v>4853640</v>
      </c>
      <c r="G55" s="36">
        <f t="shared" si="15"/>
        <v>0</v>
      </c>
      <c r="H55" s="130">
        <f t="shared" si="16"/>
        <v>0</v>
      </c>
      <c r="I55" s="37"/>
    </row>
    <row r="56" spans="1:9" ht="19.5" customHeight="1" x14ac:dyDescent="0.3">
      <c r="A56" s="64"/>
      <c r="B56" s="1289"/>
      <c r="C56" s="150" t="s">
        <v>33</v>
      </c>
      <c r="D56" s="35"/>
      <c r="E56" s="35"/>
      <c r="F56" s="35"/>
      <c r="G56" s="36">
        <f t="shared" si="15"/>
        <v>0</v>
      </c>
      <c r="H56" s="130"/>
      <c r="I56" s="37"/>
    </row>
    <row r="57" spans="1:9" ht="19.5" customHeight="1" x14ac:dyDescent="0.3">
      <c r="A57" s="64"/>
      <c r="B57" s="1289"/>
      <c r="C57" s="150" t="s">
        <v>18</v>
      </c>
      <c r="D57" s="35"/>
      <c r="E57" s="35"/>
      <c r="F57" s="35"/>
      <c r="G57" s="36">
        <f t="shared" si="15"/>
        <v>0</v>
      </c>
      <c r="H57" s="130"/>
      <c r="I57" s="37"/>
    </row>
    <row r="58" spans="1:9" ht="17.25" thickBot="1" x14ac:dyDescent="0.35">
      <c r="A58" s="64"/>
      <c r="B58" s="1324"/>
      <c r="C58" s="538" t="s">
        <v>305</v>
      </c>
      <c r="D58" s="539">
        <f>SUM(D52:D57)</f>
        <v>70931540</v>
      </c>
      <c r="E58" s="539">
        <f t="shared" ref="E58:F58" si="17">SUM(E52:E57)</f>
        <v>65376370</v>
      </c>
      <c r="F58" s="539">
        <f t="shared" si="17"/>
        <v>70834340</v>
      </c>
      <c r="G58" s="605">
        <f t="shared" ref="G58:G112" si="18">F58-D58</f>
        <v>-97200</v>
      </c>
      <c r="H58" s="540">
        <f>G58/D58*100%</f>
        <v>-1.3703353966373773E-3</v>
      </c>
      <c r="I58" s="41"/>
    </row>
    <row r="59" spans="1:9" ht="15.75" customHeight="1" x14ac:dyDescent="0.3">
      <c r="A59" s="64"/>
      <c r="B59" s="1323" t="s">
        <v>90</v>
      </c>
      <c r="C59" s="149" t="s">
        <v>19</v>
      </c>
      <c r="D59" s="541"/>
      <c r="E59" s="43"/>
      <c r="F59" s="43"/>
      <c r="G59" s="155">
        <f t="shared" si="18"/>
        <v>0</v>
      </c>
      <c r="H59" s="453"/>
      <c r="I59" s="544"/>
    </row>
    <row r="60" spans="1:9" ht="15.75" customHeight="1" x14ac:dyDescent="0.3">
      <c r="A60" s="64"/>
      <c r="B60" s="1289"/>
      <c r="C60" s="219" t="s">
        <v>182</v>
      </c>
      <c r="D60" s="35"/>
      <c r="E60" s="35"/>
      <c r="F60" s="35"/>
      <c r="G60" s="36">
        <f t="shared" si="18"/>
        <v>0</v>
      </c>
      <c r="H60" s="130"/>
      <c r="I60" s="37"/>
    </row>
    <row r="61" spans="1:9" x14ac:dyDescent="0.3">
      <c r="A61" s="64"/>
      <c r="B61" s="1289"/>
      <c r="C61" s="150" t="s">
        <v>20</v>
      </c>
      <c r="D61" s="35"/>
      <c r="E61" s="35"/>
      <c r="F61" s="35"/>
      <c r="G61" s="36">
        <f t="shared" si="18"/>
        <v>0</v>
      </c>
      <c r="H61" s="130"/>
      <c r="I61" s="37"/>
    </row>
    <row r="62" spans="1:9" ht="17.25" thickBot="1" x14ac:dyDescent="0.35">
      <c r="A62" s="64"/>
      <c r="B62" s="1324"/>
      <c r="C62" s="538" t="s">
        <v>306</v>
      </c>
      <c r="D62" s="67">
        <f>SUM(D59:D61)</f>
        <v>0</v>
      </c>
      <c r="E62" s="67">
        <f t="shared" ref="E62:F62" si="19">SUM(E59:E61)</f>
        <v>0</v>
      </c>
      <c r="F62" s="67">
        <f t="shared" si="19"/>
        <v>0</v>
      </c>
      <c r="G62" s="40">
        <f t="shared" si="18"/>
        <v>0</v>
      </c>
      <c r="H62" s="233"/>
      <c r="I62" s="41"/>
    </row>
    <row r="63" spans="1:9" x14ac:dyDescent="0.3">
      <c r="A63" s="64"/>
      <c r="B63" s="1288" t="s">
        <v>131</v>
      </c>
      <c r="C63" s="219" t="s">
        <v>21</v>
      </c>
      <c r="D63" s="36"/>
      <c r="E63" s="133"/>
      <c r="F63" s="35"/>
      <c r="G63" s="36">
        <f t="shared" si="18"/>
        <v>0</v>
      </c>
      <c r="H63" s="130"/>
      <c r="I63" s="37"/>
    </row>
    <row r="64" spans="1:9" ht="19.5" customHeight="1" x14ac:dyDescent="0.3">
      <c r="A64" s="64"/>
      <c r="B64" s="1289"/>
      <c r="C64" s="150" t="s">
        <v>34</v>
      </c>
      <c r="D64" s="206">
        <v>124008</v>
      </c>
      <c r="E64" s="132">
        <v>103318</v>
      </c>
      <c r="F64" s="77">
        <v>103318</v>
      </c>
      <c r="G64" s="35">
        <f t="shared" si="18"/>
        <v>-20690</v>
      </c>
      <c r="H64" s="130">
        <f t="shared" ref="H64:H66" si="20">G64/D64*100%</f>
        <v>-0.16684407457583381</v>
      </c>
      <c r="I64" s="37"/>
    </row>
    <row r="65" spans="1:9" ht="19.5" customHeight="1" x14ac:dyDescent="0.3">
      <c r="A65" s="64"/>
      <c r="B65" s="1289"/>
      <c r="C65" s="150" t="s">
        <v>23</v>
      </c>
      <c r="D65" s="206">
        <v>180000</v>
      </c>
      <c r="E65" s="44">
        <v>123360</v>
      </c>
      <c r="F65" s="77">
        <v>137520</v>
      </c>
      <c r="G65" s="35">
        <f t="shared" si="18"/>
        <v>-42480</v>
      </c>
      <c r="H65" s="130">
        <f t="shared" si="20"/>
        <v>-0.23599999999999999</v>
      </c>
      <c r="I65" s="37"/>
    </row>
    <row r="66" spans="1:9" ht="19.5" customHeight="1" x14ac:dyDescent="0.3">
      <c r="A66" s="64"/>
      <c r="B66" s="1289"/>
      <c r="C66" s="150" t="s">
        <v>24</v>
      </c>
      <c r="D66" s="206">
        <v>6512680</v>
      </c>
      <c r="E66" s="44">
        <v>6405400</v>
      </c>
      <c r="F66" s="77">
        <v>6988900</v>
      </c>
      <c r="G66" s="36">
        <f t="shared" si="18"/>
        <v>476220</v>
      </c>
      <c r="H66" s="130">
        <f t="shared" si="20"/>
        <v>7.3121971292923957E-2</v>
      </c>
      <c r="I66" s="37"/>
    </row>
    <row r="67" spans="1:9" ht="19.5" customHeight="1" x14ac:dyDescent="0.3">
      <c r="A67" s="99"/>
      <c r="B67" s="1289"/>
      <c r="C67" s="150" t="s">
        <v>35</v>
      </c>
      <c r="D67" s="207"/>
      <c r="E67" s="132"/>
      <c r="F67" s="156"/>
      <c r="G67" s="133">
        <f t="shared" si="18"/>
        <v>0</v>
      </c>
      <c r="H67" s="134"/>
      <c r="I67" s="76"/>
    </row>
    <row r="68" spans="1:9" ht="19.5" customHeight="1" x14ac:dyDescent="0.3">
      <c r="A68" s="99"/>
      <c r="B68" s="1289"/>
      <c r="C68" s="146" t="s">
        <v>86</v>
      </c>
      <c r="D68" s="44"/>
      <c r="E68" s="44"/>
      <c r="F68" s="44"/>
      <c r="G68" s="66">
        <f t="shared" si="18"/>
        <v>0</v>
      </c>
      <c r="H68" s="218"/>
      <c r="I68" s="83"/>
    </row>
    <row r="69" spans="1:9" ht="19.5" customHeight="1" x14ac:dyDescent="0.3">
      <c r="A69" s="99"/>
      <c r="B69" s="1289"/>
      <c r="C69" s="146" t="s">
        <v>36</v>
      </c>
      <c r="D69" s="44"/>
      <c r="E69" s="44"/>
      <c r="F69" s="44"/>
      <c r="G69" s="66">
        <f t="shared" si="18"/>
        <v>0</v>
      </c>
      <c r="H69" s="218"/>
      <c r="I69" s="83"/>
    </row>
    <row r="70" spans="1:9" x14ac:dyDescent="0.3">
      <c r="A70" s="99"/>
      <c r="B70" s="1289"/>
      <c r="C70" s="242" t="s">
        <v>307</v>
      </c>
      <c r="D70" s="635">
        <f>SUM(D63:D69)</f>
        <v>6816688</v>
      </c>
      <c r="E70" s="635">
        <f t="shared" ref="E70:F70" si="21">SUM(E63:E69)</f>
        <v>6632078</v>
      </c>
      <c r="F70" s="635">
        <f t="shared" si="21"/>
        <v>7229738</v>
      </c>
      <c r="G70" s="631">
        <f t="shared" si="18"/>
        <v>413050</v>
      </c>
      <c r="H70" s="654">
        <f>G70/D70*100%</f>
        <v>6.0593942395485899E-2</v>
      </c>
      <c r="I70" s="37"/>
    </row>
    <row r="71" spans="1:9" ht="17.25" thickBot="1" x14ac:dyDescent="0.35">
      <c r="A71" s="137" t="s">
        <v>123</v>
      </c>
      <c r="B71" s="1477" t="s">
        <v>13</v>
      </c>
      <c r="C71" s="1478"/>
      <c r="D71" s="582">
        <f>SUM(D58,D62,D70)</f>
        <v>77748228</v>
      </c>
      <c r="E71" s="611">
        <f t="shared" ref="E71:F71" si="22">SUM(E58,E62,E70)</f>
        <v>72008448</v>
      </c>
      <c r="F71" s="582">
        <f t="shared" si="22"/>
        <v>78064078</v>
      </c>
      <c r="G71" s="520">
        <f t="shared" si="18"/>
        <v>315850</v>
      </c>
      <c r="H71" s="656">
        <f>G71/D71*100%</f>
        <v>4.0624720090083593E-3</v>
      </c>
      <c r="I71" s="41"/>
    </row>
    <row r="72" spans="1:9" ht="16.5" customHeight="1" x14ac:dyDescent="0.3">
      <c r="A72" s="1325" t="s">
        <v>189</v>
      </c>
      <c r="B72" s="1288" t="s">
        <v>42</v>
      </c>
      <c r="C72" s="151" t="s">
        <v>11</v>
      </c>
      <c r="D72" s="208"/>
      <c r="E72" s="224"/>
      <c r="F72" s="154"/>
      <c r="G72" s="583">
        <f t="shared" si="18"/>
        <v>0</v>
      </c>
      <c r="H72" s="657"/>
      <c r="I72" s="37"/>
    </row>
    <row r="73" spans="1:9" ht="16.5" customHeight="1" x14ac:dyDescent="0.3">
      <c r="A73" s="1325"/>
      <c r="B73" s="1288"/>
      <c r="C73" s="480" t="s">
        <v>333</v>
      </c>
      <c r="D73" s="547"/>
      <c r="E73" s="224"/>
      <c r="F73" s="548"/>
      <c r="G73" s="36">
        <f t="shared" si="18"/>
        <v>0</v>
      </c>
      <c r="H73" s="167"/>
      <c r="I73" s="37"/>
    </row>
    <row r="74" spans="1:9" ht="16.5" customHeight="1" x14ac:dyDescent="0.3">
      <c r="A74" s="1326"/>
      <c r="B74" s="1289"/>
      <c r="C74" s="146" t="s">
        <v>37</v>
      </c>
      <c r="D74" s="209"/>
      <c r="E74" s="44"/>
      <c r="F74" s="77"/>
      <c r="G74" s="36">
        <f t="shared" si="18"/>
        <v>0</v>
      </c>
      <c r="H74" s="167"/>
      <c r="I74" s="37"/>
    </row>
    <row r="75" spans="1:9" ht="17.25" thickBot="1" x14ac:dyDescent="0.35">
      <c r="A75" s="1327"/>
      <c r="B75" s="1300" t="s">
        <v>13</v>
      </c>
      <c r="C75" s="1301"/>
      <c r="D75" s="210">
        <f>SUM(D72:D74)</f>
        <v>0</v>
      </c>
      <c r="E75" s="210">
        <f t="shared" ref="E75:F75" si="23">SUM(E72:E74)</f>
        <v>0</v>
      </c>
      <c r="F75" s="210">
        <f t="shared" si="23"/>
        <v>0</v>
      </c>
      <c r="G75" s="40">
        <f t="shared" si="18"/>
        <v>0</v>
      </c>
      <c r="H75" s="223"/>
      <c r="I75" s="42"/>
    </row>
    <row r="76" spans="1:9" x14ac:dyDescent="0.3">
      <c r="A76" s="1302" t="s">
        <v>275</v>
      </c>
      <c r="B76" s="1305" t="s">
        <v>131</v>
      </c>
      <c r="C76" s="585" t="s">
        <v>132</v>
      </c>
      <c r="D76" s="70"/>
      <c r="E76" s="70"/>
      <c r="F76" s="70"/>
      <c r="G76" s="71">
        <f t="shared" si="18"/>
        <v>0</v>
      </c>
      <c r="H76" s="455"/>
      <c r="I76" s="79"/>
    </row>
    <row r="77" spans="1:9" x14ac:dyDescent="0.3">
      <c r="A77" s="1303"/>
      <c r="B77" s="1306"/>
      <c r="C77" s="622" t="s">
        <v>133</v>
      </c>
      <c r="D77" s="221"/>
      <c r="E77" s="221"/>
      <c r="F77" s="221"/>
      <c r="G77" s="66">
        <f t="shared" si="18"/>
        <v>0</v>
      </c>
      <c r="H77" s="218"/>
      <c r="I77" s="240"/>
    </row>
    <row r="78" spans="1:9" x14ac:dyDescent="0.3">
      <c r="A78" s="1303"/>
      <c r="B78" s="1306"/>
      <c r="C78" s="622" t="s">
        <v>194</v>
      </c>
      <c r="D78" s="221"/>
      <c r="E78" s="221"/>
      <c r="F78" s="221"/>
      <c r="G78" s="66">
        <f t="shared" si="18"/>
        <v>0</v>
      </c>
      <c r="H78" s="218"/>
      <c r="I78" s="240"/>
    </row>
    <row r="79" spans="1:9" x14ac:dyDescent="0.3">
      <c r="A79" s="1303"/>
      <c r="B79" s="1306"/>
      <c r="C79" s="230" t="s">
        <v>134</v>
      </c>
      <c r="D79" s="44"/>
      <c r="E79" s="44"/>
      <c r="F79" s="44"/>
      <c r="G79" s="66">
        <f t="shared" si="18"/>
        <v>0</v>
      </c>
      <c r="H79" s="218"/>
      <c r="I79" s="83"/>
    </row>
    <row r="80" spans="1:9" x14ac:dyDescent="0.3">
      <c r="A80" s="1303"/>
      <c r="B80" s="1306"/>
      <c r="C80" s="230" t="s">
        <v>195</v>
      </c>
      <c r="D80" s="44"/>
      <c r="E80" s="44"/>
      <c r="F80" s="44"/>
      <c r="G80" s="66">
        <f t="shared" si="18"/>
        <v>0</v>
      </c>
      <c r="H80" s="218"/>
      <c r="I80" s="83"/>
    </row>
    <row r="81" spans="1:9" x14ac:dyDescent="0.3">
      <c r="A81" s="1303"/>
      <c r="B81" s="1462"/>
      <c r="C81" s="228" t="s">
        <v>308</v>
      </c>
      <c r="D81" s="66">
        <f>SUM(D76:D80)</f>
        <v>0</v>
      </c>
      <c r="E81" s="66">
        <f t="shared" ref="E81:F81" si="24">SUM(E76:E80)</f>
        <v>0</v>
      </c>
      <c r="F81" s="66">
        <f t="shared" si="24"/>
        <v>0</v>
      </c>
      <c r="G81" s="66">
        <f t="shared" si="18"/>
        <v>0</v>
      </c>
      <c r="H81" s="218"/>
      <c r="I81" s="83"/>
    </row>
    <row r="82" spans="1:9" ht="12" customHeight="1" x14ac:dyDescent="0.3">
      <c r="A82" s="1303"/>
      <c r="B82" s="1479" t="s">
        <v>197</v>
      </c>
      <c r="C82" s="624" t="s">
        <v>164</v>
      </c>
      <c r="D82" s="44"/>
      <c r="E82" s="44"/>
      <c r="F82" s="44"/>
      <c r="G82" s="66">
        <f t="shared" si="18"/>
        <v>0</v>
      </c>
      <c r="H82" s="218"/>
      <c r="I82" s="83"/>
    </row>
    <row r="83" spans="1:9" ht="12" customHeight="1" x14ac:dyDescent="0.3">
      <c r="A83" s="1303"/>
      <c r="B83" s="1309"/>
      <c r="C83" s="624" t="s">
        <v>191</v>
      </c>
      <c r="D83" s="44"/>
      <c r="E83" s="44"/>
      <c r="F83" s="44"/>
      <c r="G83" s="66">
        <f t="shared" si="18"/>
        <v>0</v>
      </c>
      <c r="H83" s="218"/>
      <c r="I83" s="83"/>
    </row>
    <row r="84" spans="1:9" ht="12" customHeight="1" x14ac:dyDescent="0.3">
      <c r="A84" s="1303"/>
      <c r="B84" s="1309"/>
      <c r="C84" s="624" t="s">
        <v>192</v>
      </c>
      <c r="D84" s="44"/>
      <c r="E84" s="44"/>
      <c r="F84" s="44"/>
      <c r="G84" s="66">
        <f t="shared" si="18"/>
        <v>0</v>
      </c>
      <c r="H84" s="218"/>
      <c r="I84" s="83"/>
    </row>
    <row r="85" spans="1:9" ht="12" customHeight="1" x14ac:dyDescent="0.3">
      <c r="A85" s="1303"/>
      <c r="B85" s="1309"/>
      <c r="C85" s="624" t="s">
        <v>140</v>
      </c>
      <c r="D85" s="44"/>
      <c r="E85" s="44"/>
      <c r="F85" s="44"/>
      <c r="G85" s="66">
        <f t="shared" si="18"/>
        <v>0</v>
      </c>
      <c r="H85" s="218"/>
      <c r="I85" s="83"/>
    </row>
    <row r="86" spans="1:9" ht="12" customHeight="1" x14ac:dyDescent="0.3">
      <c r="A86" s="1303"/>
      <c r="B86" s="1309"/>
      <c r="C86" s="624" t="s">
        <v>137</v>
      </c>
      <c r="D86" s="44"/>
      <c r="E86" s="44"/>
      <c r="F86" s="44"/>
      <c r="G86" s="66">
        <f t="shared" si="18"/>
        <v>0</v>
      </c>
      <c r="H86" s="218"/>
      <c r="I86" s="83"/>
    </row>
    <row r="87" spans="1:9" ht="12" customHeight="1" x14ac:dyDescent="0.3">
      <c r="A87" s="1303"/>
      <c r="B87" s="1309"/>
      <c r="C87" s="624" t="s">
        <v>141</v>
      </c>
      <c r="D87" s="44"/>
      <c r="E87" s="44"/>
      <c r="F87" s="44"/>
      <c r="G87" s="66">
        <f t="shared" si="18"/>
        <v>0</v>
      </c>
      <c r="H87" s="218"/>
      <c r="I87" s="83"/>
    </row>
    <row r="88" spans="1:9" ht="18.75" customHeight="1" x14ac:dyDescent="0.3">
      <c r="A88" s="1303"/>
      <c r="B88" s="1309"/>
      <c r="C88" s="227" t="s">
        <v>138</v>
      </c>
      <c r="D88" s="44">
        <v>20882740</v>
      </c>
      <c r="E88" s="44">
        <v>14000610</v>
      </c>
      <c r="F88" s="44">
        <v>20566890</v>
      </c>
      <c r="G88" s="44">
        <f t="shared" si="18"/>
        <v>-315850</v>
      </c>
      <c r="H88" s="218">
        <f t="shared" ref="H88" si="25">G88/D88*100%</f>
        <v>-1.5124930923815554E-2</v>
      </c>
      <c r="I88" s="83"/>
    </row>
    <row r="89" spans="1:9" ht="12" customHeight="1" x14ac:dyDescent="0.3">
      <c r="A89" s="1303"/>
      <c r="B89" s="1309"/>
      <c r="C89" s="624" t="s">
        <v>139</v>
      </c>
      <c r="D89" s="44"/>
      <c r="E89" s="44"/>
      <c r="F89" s="44"/>
      <c r="G89" s="66">
        <f t="shared" si="18"/>
        <v>0</v>
      </c>
      <c r="H89" s="218"/>
      <c r="I89" s="83"/>
    </row>
    <row r="90" spans="1:9" ht="12" customHeight="1" x14ac:dyDescent="0.3">
      <c r="A90" s="1303"/>
      <c r="B90" s="1309"/>
      <c r="C90" s="624" t="s">
        <v>136</v>
      </c>
      <c r="D90" s="44"/>
      <c r="E90" s="44"/>
      <c r="F90" s="44"/>
      <c r="G90" s="66">
        <f t="shared" si="18"/>
        <v>0</v>
      </c>
      <c r="H90" s="218"/>
      <c r="I90" s="83"/>
    </row>
    <row r="91" spans="1:9" ht="12" customHeight="1" x14ac:dyDescent="0.3">
      <c r="A91" s="1303"/>
      <c r="B91" s="1309"/>
      <c r="C91" s="624" t="s">
        <v>135</v>
      </c>
      <c r="D91" s="44"/>
      <c r="E91" s="44"/>
      <c r="F91" s="44"/>
      <c r="G91" s="66">
        <f t="shared" si="18"/>
        <v>0</v>
      </c>
      <c r="H91" s="218"/>
      <c r="I91" s="83"/>
    </row>
    <row r="92" spans="1:9" ht="12" customHeight="1" x14ac:dyDescent="0.3">
      <c r="A92" s="1303"/>
      <c r="B92" s="1309"/>
      <c r="C92" s="624" t="s">
        <v>193</v>
      </c>
      <c r="D92" s="44"/>
      <c r="E92" s="44"/>
      <c r="F92" s="44"/>
      <c r="G92" s="66">
        <f t="shared" si="18"/>
        <v>0</v>
      </c>
      <c r="H92" s="218"/>
      <c r="I92" s="83"/>
    </row>
    <row r="93" spans="1:9" ht="12" customHeight="1" x14ac:dyDescent="0.3">
      <c r="A93" s="1303"/>
      <c r="B93" s="1309"/>
      <c r="C93" s="624" t="s">
        <v>239</v>
      </c>
      <c r="D93" s="44"/>
      <c r="E93" s="44"/>
      <c r="F93" s="44"/>
      <c r="G93" s="66">
        <f t="shared" si="18"/>
        <v>0</v>
      </c>
      <c r="H93" s="218"/>
      <c r="I93" s="83"/>
    </row>
    <row r="94" spans="1:9" ht="12" customHeight="1" x14ac:dyDescent="0.3">
      <c r="A94" s="1303"/>
      <c r="B94" s="1309"/>
      <c r="C94" s="624" t="s">
        <v>240</v>
      </c>
      <c r="D94" s="44"/>
      <c r="E94" s="44"/>
      <c r="F94" s="44"/>
      <c r="G94" s="66">
        <f t="shared" si="18"/>
        <v>0</v>
      </c>
      <c r="H94" s="218"/>
      <c r="I94" s="83"/>
    </row>
    <row r="95" spans="1:9" ht="12" customHeight="1" x14ac:dyDescent="0.3">
      <c r="A95" s="1303"/>
      <c r="B95" s="1309"/>
      <c r="C95" s="624" t="s">
        <v>241</v>
      </c>
      <c r="D95" s="44"/>
      <c r="E95" s="44"/>
      <c r="F95" s="44"/>
      <c r="G95" s="66">
        <f t="shared" si="18"/>
        <v>0</v>
      </c>
      <c r="H95" s="218"/>
      <c r="I95" s="83"/>
    </row>
    <row r="96" spans="1:9" ht="12" customHeight="1" x14ac:dyDescent="0.3">
      <c r="A96" s="1303"/>
      <c r="B96" s="1309"/>
      <c r="C96" s="624" t="s">
        <v>242</v>
      </c>
      <c r="D96" s="44"/>
      <c r="E96" s="44"/>
      <c r="F96" s="44"/>
      <c r="G96" s="66">
        <f t="shared" si="18"/>
        <v>0</v>
      </c>
      <c r="H96" s="218"/>
      <c r="I96" s="83"/>
    </row>
    <row r="97" spans="1:9" ht="12" customHeight="1" x14ac:dyDescent="0.3">
      <c r="A97" s="1303"/>
      <c r="B97" s="1309"/>
      <c r="C97" s="624" t="s">
        <v>243</v>
      </c>
      <c r="D97" s="44"/>
      <c r="E97" s="44"/>
      <c r="F97" s="44"/>
      <c r="G97" s="66">
        <f t="shared" si="18"/>
        <v>0</v>
      </c>
      <c r="H97" s="218"/>
      <c r="I97" s="83"/>
    </row>
    <row r="98" spans="1:9" ht="12" customHeight="1" x14ac:dyDescent="0.3">
      <c r="A98" s="1303"/>
      <c r="B98" s="1309"/>
      <c r="C98" s="624" t="s">
        <v>244</v>
      </c>
      <c r="D98" s="44"/>
      <c r="E98" s="44"/>
      <c r="F98" s="44"/>
      <c r="G98" s="66">
        <f t="shared" si="18"/>
        <v>0</v>
      </c>
      <c r="H98" s="218"/>
      <c r="I98" s="83"/>
    </row>
    <row r="99" spans="1:9" ht="12" customHeight="1" x14ac:dyDescent="0.3">
      <c r="A99" s="1303"/>
      <c r="B99" s="1309"/>
      <c r="C99" s="624" t="s">
        <v>245</v>
      </c>
      <c r="D99" s="44"/>
      <c r="E99" s="44"/>
      <c r="F99" s="44"/>
      <c r="G99" s="66">
        <f t="shared" si="18"/>
        <v>0</v>
      </c>
      <c r="H99" s="218"/>
      <c r="I99" s="83"/>
    </row>
    <row r="100" spans="1:9" ht="12" customHeight="1" x14ac:dyDescent="0.3">
      <c r="A100" s="1303"/>
      <c r="B100" s="1309"/>
      <c r="C100" s="624" t="s">
        <v>232</v>
      </c>
      <c r="D100" s="44"/>
      <c r="E100" s="44"/>
      <c r="F100" s="44"/>
      <c r="G100" s="66">
        <f t="shared" si="18"/>
        <v>0</v>
      </c>
      <c r="H100" s="218"/>
      <c r="I100" s="83"/>
    </row>
    <row r="101" spans="1:9" ht="12" customHeight="1" x14ac:dyDescent="0.3">
      <c r="A101" s="1303"/>
      <c r="B101" s="1309"/>
      <c r="C101" s="624" t="s">
        <v>233</v>
      </c>
      <c r="D101" s="44"/>
      <c r="E101" s="44"/>
      <c r="F101" s="44"/>
      <c r="G101" s="66">
        <f t="shared" si="18"/>
        <v>0</v>
      </c>
      <c r="H101" s="218"/>
      <c r="I101" s="83"/>
    </row>
    <row r="102" spans="1:9" ht="12" customHeight="1" x14ac:dyDescent="0.3">
      <c r="A102" s="1303"/>
      <c r="B102" s="1309"/>
      <c r="C102" s="624" t="s">
        <v>234</v>
      </c>
      <c r="D102" s="44"/>
      <c r="E102" s="44"/>
      <c r="F102" s="44"/>
      <c r="G102" s="66">
        <f t="shared" si="18"/>
        <v>0</v>
      </c>
      <c r="H102" s="218"/>
      <c r="I102" s="83"/>
    </row>
    <row r="103" spans="1:9" ht="12" customHeight="1" x14ac:dyDescent="0.3">
      <c r="A103" s="1303"/>
      <c r="B103" s="1309"/>
      <c r="C103" s="624" t="s">
        <v>235</v>
      </c>
      <c r="D103" s="44"/>
      <c r="E103" s="44"/>
      <c r="F103" s="44"/>
      <c r="G103" s="66">
        <f t="shared" si="18"/>
        <v>0</v>
      </c>
      <c r="H103" s="218"/>
      <c r="I103" s="83"/>
    </row>
    <row r="104" spans="1:9" ht="17.25" thickBot="1" x14ac:dyDescent="0.35">
      <c r="A104" s="1303"/>
      <c r="B104" s="1310"/>
      <c r="C104" s="478" t="s">
        <v>309</v>
      </c>
      <c r="D104" s="519">
        <f>SUM(D82:D103)</f>
        <v>20882740</v>
      </c>
      <c r="E104" s="519">
        <f>SUM(E82:E103)</f>
        <v>14000610</v>
      </c>
      <c r="F104" s="519">
        <f>SUM(F82:F103)</f>
        <v>20566890</v>
      </c>
      <c r="G104" s="743">
        <f t="shared" si="18"/>
        <v>-315850</v>
      </c>
      <c r="H104" s="653">
        <f>G104/D104*100%</f>
        <v>-1.5124930923815554E-2</v>
      </c>
      <c r="I104" s="81"/>
    </row>
    <row r="105" spans="1:9" ht="17.25" thickBot="1" x14ac:dyDescent="0.35">
      <c r="A105" s="1304"/>
      <c r="B105" s="1311" t="s">
        <v>13</v>
      </c>
      <c r="C105" s="1311"/>
      <c r="D105" s="629">
        <f>SUM(D81,D104)</f>
        <v>20882740</v>
      </c>
      <c r="E105" s="629">
        <f>SUM(E81,E104)</f>
        <v>14000610</v>
      </c>
      <c r="F105" s="629">
        <f>SUM(F81,F104)</f>
        <v>20566890</v>
      </c>
      <c r="G105" s="605">
        <f t="shared" si="18"/>
        <v>-315850</v>
      </c>
      <c r="H105" s="653">
        <f>G105/D105*100%</f>
        <v>-1.5124930923815554E-2</v>
      </c>
      <c r="I105" s="573"/>
    </row>
    <row r="106" spans="1:9" x14ac:dyDescent="0.3">
      <c r="A106" s="1303" t="s">
        <v>274</v>
      </c>
      <c r="B106" s="201" t="s">
        <v>5</v>
      </c>
      <c r="C106" s="219" t="s">
        <v>8</v>
      </c>
      <c r="D106" s="216"/>
      <c r="E106" s="69"/>
      <c r="F106" s="77"/>
      <c r="G106" s="36">
        <f t="shared" si="18"/>
        <v>0</v>
      </c>
      <c r="H106" s="167"/>
      <c r="I106" s="37"/>
    </row>
    <row r="107" spans="1:9" ht="17.25" thickBot="1" x14ac:dyDescent="0.35">
      <c r="A107" s="1304"/>
      <c r="B107" s="1312" t="s">
        <v>13</v>
      </c>
      <c r="C107" s="1313"/>
      <c r="D107" s="210">
        <f>D106</f>
        <v>0</v>
      </c>
      <c r="E107" s="210">
        <f t="shared" ref="E107:F107" si="26">E106</f>
        <v>0</v>
      </c>
      <c r="F107" s="210">
        <f t="shared" si="26"/>
        <v>0</v>
      </c>
      <c r="G107" s="158">
        <f t="shared" si="18"/>
        <v>0</v>
      </c>
      <c r="H107" s="166"/>
      <c r="I107" s="42"/>
    </row>
    <row r="108" spans="1:9" x14ac:dyDescent="0.3">
      <c r="A108" s="1286" t="s">
        <v>271</v>
      </c>
      <c r="B108" s="1288" t="s">
        <v>198</v>
      </c>
      <c r="C108" s="151" t="s">
        <v>65</v>
      </c>
      <c r="D108" s="211"/>
      <c r="E108" s="69"/>
      <c r="F108" s="214"/>
      <c r="G108" s="157">
        <f t="shared" si="18"/>
        <v>0</v>
      </c>
      <c r="H108" s="130"/>
      <c r="I108" s="39"/>
    </row>
    <row r="109" spans="1:9" x14ac:dyDescent="0.3">
      <c r="A109" s="1286"/>
      <c r="B109" s="1289"/>
      <c r="C109" s="146" t="s">
        <v>38</v>
      </c>
      <c r="D109" s="212">
        <v>9032</v>
      </c>
      <c r="E109" s="44"/>
      <c r="F109" s="77">
        <v>9032</v>
      </c>
      <c r="G109" s="36">
        <f t="shared" si="18"/>
        <v>0</v>
      </c>
      <c r="H109" s="130">
        <f t="shared" ref="H109" si="27">G109/D109*100%</f>
        <v>0</v>
      </c>
      <c r="I109" s="37"/>
    </row>
    <row r="110" spans="1:9" ht="17.25" thickBot="1" x14ac:dyDescent="0.35">
      <c r="A110" s="1461"/>
      <c r="B110" s="1321" t="s">
        <v>13</v>
      </c>
      <c r="C110" s="1322"/>
      <c r="D110" s="301">
        <f>SUM(D108:D109)</f>
        <v>9032</v>
      </c>
      <c r="E110" s="301">
        <f t="shared" ref="E110:F110" si="28">SUM(E108:E109)</f>
        <v>0</v>
      </c>
      <c r="F110" s="301">
        <f t="shared" si="28"/>
        <v>9032</v>
      </c>
      <c r="G110" s="158">
        <f t="shared" si="18"/>
        <v>0</v>
      </c>
      <c r="H110" s="134">
        <f t="shared" ref="H110:H112" si="29">G110/D110*100</f>
        <v>0</v>
      </c>
      <c r="I110" s="42"/>
    </row>
    <row r="111" spans="1:9" ht="17.25" thickBot="1" x14ac:dyDescent="0.35">
      <c r="A111" s="152" t="s">
        <v>43</v>
      </c>
      <c r="B111" s="153" t="s">
        <v>43</v>
      </c>
      <c r="C111" s="220" t="s">
        <v>68</v>
      </c>
      <c r="D111" s="213"/>
      <c r="E111" s="221">
        <v>1688597</v>
      </c>
      <c r="F111" s="215"/>
      <c r="G111" s="133">
        <f t="shared" si="18"/>
        <v>0</v>
      </c>
      <c r="H111" s="168"/>
      <c r="I111" s="138"/>
    </row>
    <row r="112" spans="1:9" ht="17.25" thickBot="1" x14ac:dyDescent="0.35">
      <c r="A112" s="1391" t="s">
        <v>41</v>
      </c>
      <c r="B112" s="1392"/>
      <c r="C112" s="1393"/>
      <c r="D112" s="302">
        <f>SUM(D71,D75,D105,D107,D110,D111)</f>
        <v>98640000</v>
      </c>
      <c r="E112" s="302">
        <f>SUM(E71,E75,E105,E107,E110,E111)</f>
        <v>87697655</v>
      </c>
      <c r="F112" s="302">
        <f>SUM(F71,F75,F105,F107,F110,F111)</f>
        <v>98640000</v>
      </c>
      <c r="G112" s="302">
        <f t="shared" si="18"/>
        <v>0</v>
      </c>
      <c r="H112" s="523">
        <f t="shared" si="29"/>
        <v>0</v>
      </c>
      <c r="I112" s="78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80"/>
  </sheetPr>
  <dimension ref="A2:I112"/>
  <sheetViews>
    <sheetView topLeftCell="A19" workbookViewId="0">
      <selection activeCell="E116" sqref="E115:E116"/>
    </sheetView>
  </sheetViews>
  <sheetFormatPr defaultRowHeight="16.5" x14ac:dyDescent="0.3"/>
  <cols>
    <col min="1" max="1" width="16.375" customWidth="1"/>
    <col min="2" max="2" width="12.125" customWidth="1"/>
    <col min="3" max="3" width="21.25" customWidth="1"/>
    <col min="4" max="4" width="18.875" customWidth="1"/>
    <col min="5" max="5" width="20" customWidth="1"/>
    <col min="6" max="6" width="21.875" customWidth="1"/>
    <col min="7" max="7" width="18.75" customWidth="1"/>
    <col min="8" max="8" width="10.375" customWidth="1"/>
    <col min="9" max="9" width="46.75" customWidth="1"/>
  </cols>
  <sheetData>
    <row r="2" spans="1:9" ht="29.25" customHeight="1" x14ac:dyDescent="0.3">
      <c r="A2" s="1464" t="s">
        <v>229</v>
      </c>
      <c r="B2" s="1465"/>
      <c r="C2" s="1465"/>
      <c r="D2" s="1465"/>
      <c r="E2" s="1465"/>
      <c r="F2" s="1465"/>
      <c r="G2" s="1465"/>
      <c r="H2" s="1465"/>
      <c r="I2" s="1465"/>
    </row>
    <row r="3" spans="1:9" ht="16.5" customHeight="1" x14ac:dyDescent="0.3">
      <c r="A3" s="1435" t="s">
        <v>413</v>
      </c>
      <c r="B3" s="1435"/>
      <c r="C3" s="1435"/>
      <c r="D3" s="1435"/>
      <c r="E3" s="1435"/>
      <c r="F3" s="1435"/>
      <c r="G3" s="1435"/>
      <c r="H3" s="1435"/>
      <c r="I3" s="1435"/>
    </row>
    <row r="4" spans="1:9" ht="16.5" customHeight="1" x14ac:dyDescent="0.3">
      <c r="A4" s="1435"/>
      <c r="B4" s="1435"/>
      <c r="C4" s="1435"/>
      <c r="D4" s="1435"/>
      <c r="E4" s="1435"/>
      <c r="F4" s="1435"/>
      <c r="G4" s="1435"/>
      <c r="H4" s="1435"/>
      <c r="I4" s="1435"/>
    </row>
    <row r="5" spans="1:9" ht="17.25" thickBot="1" x14ac:dyDescent="0.35">
      <c r="A5" s="1466" t="s">
        <v>129</v>
      </c>
      <c r="B5" s="1466"/>
      <c r="C5" s="1466"/>
      <c r="D5" s="1466"/>
      <c r="E5" s="1466"/>
      <c r="F5" s="1466"/>
      <c r="G5" s="1466"/>
      <c r="H5" s="1466"/>
      <c r="I5" s="1466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394</v>
      </c>
      <c r="F6" s="1273" t="s">
        <v>236</v>
      </c>
      <c r="G6" s="1273" t="s">
        <v>59</v>
      </c>
      <c r="H6" s="127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276"/>
      <c r="I7" s="1278"/>
    </row>
    <row r="8" spans="1:9" ht="25.5" customHeight="1" x14ac:dyDescent="0.3">
      <c r="A8" s="1364" t="s">
        <v>165</v>
      </c>
      <c r="B8" s="1309" t="s">
        <v>166</v>
      </c>
      <c r="C8" s="319" t="s">
        <v>147</v>
      </c>
      <c r="D8" s="236"/>
      <c r="E8" s="236"/>
      <c r="F8" s="236"/>
      <c r="G8" s="243">
        <f>F8-D8</f>
        <v>0</v>
      </c>
      <c r="H8" s="237"/>
      <c r="I8" s="293"/>
    </row>
    <row r="9" spans="1:9" ht="25.5" customHeight="1" x14ac:dyDescent="0.3">
      <c r="A9" s="1364"/>
      <c r="B9" s="1309"/>
      <c r="C9" s="320" t="s">
        <v>150</v>
      </c>
      <c r="D9" s="231"/>
      <c r="E9" s="231"/>
      <c r="F9" s="231"/>
      <c r="G9" s="243">
        <f t="shared" ref="G9:G20" si="0">F9-D9</f>
        <v>0</v>
      </c>
      <c r="H9" s="234"/>
      <c r="I9" s="294"/>
    </row>
    <row r="10" spans="1:9" ht="25.5" customHeight="1" x14ac:dyDescent="0.3">
      <c r="A10" s="1364"/>
      <c r="B10" s="1309"/>
      <c r="C10" s="320" t="s">
        <v>151</v>
      </c>
      <c r="D10" s="231"/>
      <c r="E10" s="231"/>
      <c r="F10" s="231"/>
      <c r="G10" s="243">
        <f t="shared" si="0"/>
        <v>0</v>
      </c>
      <c r="H10" s="234"/>
      <c r="I10" s="294"/>
    </row>
    <row r="11" spans="1:9" ht="25.5" customHeight="1" x14ac:dyDescent="0.3">
      <c r="A11" s="1364"/>
      <c r="B11" s="1309"/>
      <c r="C11" s="320" t="s">
        <v>152</v>
      </c>
      <c r="D11" s="231"/>
      <c r="E11" s="231"/>
      <c r="F11" s="231"/>
      <c r="G11" s="243">
        <f t="shared" si="0"/>
        <v>0</v>
      </c>
      <c r="H11" s="234"/>
      <c r="I11" s="294"/>
    </row>
    <row r="12" spans="1:9" ht="25.5" customHeight="1" x14ac:dyDescent="0.3">
      <c r="A12" s="1364"/>
      <c r="B12" s="1288"/>
      <c r="C12" s="320" t="s">
        <v>153</v>
      </c>
      <c r="D12" s="231"/>
      <c r="E12" s="231"/>
      <c r="F12" s="231"/>
      <c r="G12" s="243">
        <f t="shared" si="0"/>
        <v>0</v>
      </c>
      <c r="H12" s="234"/>
      <c r="I12" s="294"/>
    </row>
    <row r="13" spans="1:9" ht="18" thickBot="1" x14ac:dyDescent="0.35">
      <c r="A13" s="1365"/>
      <c r="B13" s="1374" t="s">
        <v>13</v>
      </c>
      <c r="C13" s="1374"/>
      <c r="D13" s="232">
        <f>SUM(D8:D12)</f>
        <v>0</v>
      </c>
      <c r="E13" s="232">
        <f t="shared" ref="E13:F13" si="1">SUM(E8:E12)</f>
        <v>0</v>
      </c>
      <c r="F13" s="232">
        <f t="shared" si="1"/>
        <v>0</v>
      </c>
      <c r="G13" s="244">
        <f t="shared" si="0"/>
        <v>0</v>
      </c>
      <c r="H13" s="235"/>
      <c r="I13" s="295"/>
    </row>
    <row r="14" spans="1:9" ht="20.25" customHeight="1" x14ac:dyDescent="0.3">
      <c r="A14" s="1401" t="s">
        <v>3</v>
      </c>
      <c r="B14" s="1309" t="s">
        <v>3</v>
      </c>
      <c r="C14" s="319" t="s">
        <v>142</v>
      </c>
      <c r="D14" s="236"/>
      <c r="E14" s="236"/>
      <c r="F14" s="236"/>
      <c r="G14" s="243">
        <f t="shared" si="0"/>
        <v>0</v>
      </c>
      <c r="H14" s="237"/>
      <c r="I14" s="296"/>
    </row>
    <row r="15" spans="1:9" ht="20.25" customHeight="1" x14ac:dyDescent="0.3">
      <c r="A15" s="1401"/>
      <c r="B15" s="1309"/>
      <c r="C15" s="320" t="s">
        <v>143</v>
      </c>
      <c r="D15" s="231"/>
      <c r="E15" s="231"/>
      <c r="F15" s="231"/>
      <c r="G15" s="243">
        <f t="shared" si="0"/>
        <v>0</v>
      </c>
      <c r="H15" s="234"/>
      <c r="I15" s="297"/>
    </row>
    <row r="16" spans="1:9" ht="20.25" customHeight="1" x14ac:dyDescent="0.3">
      <c r="A16" s="1401"/>
      <c r="B16" s="1309"/>
      <c r="C16" s="320" t="s">
        <v>144</v>
      </c>
      <c r="D16" s="231"/>
      <c r="E16" s="231"/>
      <c r="F16" s="231"/>
      <c r="G16" s="243">
        <f t="shared" si="0"/>
        <v>0</v>
      </c>
      <c r="H16" s="234"/>
      <c r="I16" s="297"/>
    </row>
    <row r="17" spans="1:9" ht="20.25" customHeight="1" x14ac:dyDescent="0.3">
      <c r="A17" s="1401"/>
      <c r="B17" s="1309"/>
      <c r="C17" s="320" t="s">
        <v>145</v>
      </c>
      <c r="D17" s="231"/>
      <c r="E17" s="231"/>
      <c r="F17" s="231"/>
      <c r="G17" s="243">
        <f t="shared" si="0"/>
        <v>0</v>
      </c>
      <c r="H17" s="234"/>
      <c r="I17" s="297"/>
    </row>
    <row r="18" spans="1:9" ht="20.25" customHeight="1" x14ac:dyDescent="0.3">
      <c r="A18" s="1401"/>
      <c r="B18" s="1309"/>
      <c r="C18" s="319" t="s">
        <v>146</v>
      </c>
      <c r="D18" s="231"/>
      <c r="E18" s="231"/>
      <c r="F18" s="231"/>
      <c r="G18" s="243">
        <f t="shared" si="0"/>
        <v>0</v>
      </c>
      <c r="H18" s="234"/>
      <c r="I18" s="294"/>
    </row>
    <row r="19" spans="1:9" ht="20.25" customHeight="1" x14ac:dyDescent="0.3">
      <c r="A19" s="1401"/>
      <c r="B19" s="1309"/>
      <c r="C19" s="146" t="s">
        <v>148</v>
      </c>
      <c r="D19" s="231"/>
      <c r="E19" s="231"/>
      <c r="F19" s="231"/>
      <c r="G19" s="243">
        <f t="shared" si="0"/>
        <v>0</v>
      </c>
      <c r="H19" s="234"/>
      <c r="I19" s="294"/>
    </row>
    <row r="20" spans="1:9" ht="20.25" customHeight="1" x14ac:dyDescent="0.3">
      <c r="A20" s="1401"/>
      <c r="B20" s="1309"/>
      <c r="C20" s="146" t="s">
        <v>149</v>
      </c>
      <c r="D20" s="231"/>
      <c r="E20" s="231"/>
      <c r="F20" s="231"/>
      <c r="G20" s="243">
        <f t="shared" si="0"/>
        <v>0</v>
      </c>
      <c r="H20" s="234"/>
      <c r="I20" s="294"/>
    </row>
    <row r="21" spans="1:9" ht="20.25" customHeight="1" x14ac:dyDescent="0.3">
      <c r="A21" s="1401"/>
      <c r="B21" s="1288"/>
      <c r="C21" s="146" t="s">
        <v>167</v>
      </c>
      <c r="D21" s="65"/>
      <c r="E21" s="65"/>
      <c r="F21" s="35"/>
      <c r="G21" s="36">
        <f>F21-D21</f>
        <v>0</v>
      </c>
      <c r="H21" s="130"/>
      <c r="I21" s="37"/>
    </row>
    <row r="22" spans="1:9" ht="17.25" thickBot="1" x14ac:dyDescent="0.35">
      <c r="A22" s="1460"/>
      <c r="B22" s="1403" t="s">
        <v>13</v>
      </c>
      <c r="C22" s="1404"/>
      <c r="D22" s="40">
        <f>SUM(D14:D21)</f>
        <v>0</v>
      </c>
      <c r="E22" s="40">
        <f t="shared" ref="E22:F22" si="2">SUM(E14:E21)</f>
        <v>0</v>
      </c>
      <c r="F22" s="40">
        <f t="shared" si="2"/>
        <v>0</v>
      </c>
      <c r="G22" s="133">
        <f t="shared" ref="G22:G48" si="3">F22-D22</f>
        <v>0</v>
      </c>
      <c r="H22" s="134"/>
      <c r="I22" s="41"/>
    </row>
    <row r="23" spans="1:9" ht="19.5" customHeight="1" x14ac:dyDescent="0.3">
      <c r="A23" s="1371" t="s">
        <v>159</v>
      </c>
      <c r="B23" s="1308" t="s">
        <v>159</v>
      </c>
      <c r="C23" s="147" t="s">
        <v>113</v>
      </c>
      <c r="D23" s="70"/>
      <c r="E23" s="70"/>
      <c r="F23" s="71"/>
      <c r="G23" s="160">
        <f t="shared" si="3"/>
        <v>0</v>
      </c>
      <c r="H23" s="163"/>
      <c r="I23" s="79"/>
    </row>
    <row r="24" spans="1:9" ht="19.5" customHeight="1" x14ac:dyDescent="0.3">
      <c r="A24" s="1372"/>
      <c r="B24" s="1309"/>
      <c r="C24" s="320" t="s">
        <v>63</v>
      </c>
      <c r="D24" s="884">
        <v>229276000</v>
      </c>
      <c r="E24" s="913">
        <v>222483860</v>
      </c>
      <c r="F24" s="884">
        <v>227693290</v>
      </c>
      <c r="G24" s="600">
        <f t="shared" si="3"/>
        <v>-1582710</v>
      </c>
      <c r="H24" s="164">
        <f t="shared" ref="H24:H26" si="4">G24/D24*100%</f>
        <v>-6.903077513564438E-3</v>
      </c>
      <c r="I24" s="80"/>
    </row>
    <row r="25" spans="1:9" ht="19.5" customHeight="1" x14ac:dyDescent="0.3">
      <c r="A25" s="1372"/>
      <c r="B25" s="1309"/>
      <c r="C25" s="320" t="s">
        <v>30</v>
      </c>
      <c r="D25" s="884">
        <v>31776000</v>
      </c>
      <c r="E25" s="913">
        <v>31776000</v>
      </c>
      <c r="F25" s="884">
        <v>31776000</v>
      </c>
      <c r="G25" s="161">
        <f t="shared" si="3"/>
        <v>0</v>
      </c>
      <c r="H25" s="164">
        <f t="shared" si="4"/>
        <v>0</v>
      </c>
      <c r="I25" s="80"/>
    </row>
    <row r="26" spans="1:9" ht="19.5" customHeight="1" x14ac:dyDescent="0.3">
      <c r="A26" s="1372"/>
      <c r="B26" s="1288"/>
      <c r="C26" s="320" t="s">
        <v>64</v>
      </c>
      <c r="D26" s="884">
        <v>2200000</v>
      </c>
      <c r="E26" s="913">
        <v>2200000</v>
      </c>
      <c r="F26" s="884">
        <v>2200000</v>
      </c>
      <c r="G26" s="161">
        <f t="shared" si="3"/>
        <v>0</v>
      </c>
      <c r="H26" s="164">
        <f t="shared" si="4"/>
        <v>0</v>
      </c>
      <c r="I26" s="80"/>
    </row>
    <row r="27" spans="1:9" ht="17.25" thickBot="1" x14ac:dyDescent="0.35">
      <c r="A27" s="1373"/>
      <c r="B27" s="1368" t="s">
        <v>13</v>
      </c>
      <c r="C27" s="1394"/>
      <c r="D27" s="519">
        <f>SUM(D23:D26)</f>
        <v>263252000</v>
      </c>
      <c r="E27" s="519">
        <f t="shared" ref="E27:F27" si="5">SUM(E23:E26)</f>
        <v>256459860</v>
      </c>
      <c r="F27" s="519">
        <f t="shared" si="5"/>
        <v>261669290</v>
      </c>
      <c r="G27" s="749">
        <f t="shared" si="3"/>
        <v>-1582710</v>
      </c>
      <c r="H27" s="650">
        <f>G27/D27*100%</f>
        <v>-6.012148055855226E-3</v>
      </c>
      <c r="I27" s="81"/>
    </row>
    <row r="28" spans="1:9" ht="22.5" customHeight="1" x14ac:dyDescent="0.3">
      <c r="A28" s="1325" t="s">
        <v>161</v>
      </c>
      <c r="B28" s="1288" t="s">
        <v>161</v>
      </c>
      <c r="C28" s="151" t="s">
        <v>6</v>
      </c>
      <c r="D28" s="885">
        <v>57410000</v>
      </c>
      <c r="E28" s="914">
        <v>52402391</v>
      </c>
      <c r="F28" s="885">
        <v>54410000</v>
      </c>
      <c r="G28" s="35">
        <f t="shared" si="3"/>
        <v>-3000000</v>
      </c>
      <c r="H28" s="130">
        <f t="shared" ref="H28:H30" si="6">G28/D28*100%</f>
        <v>-5.2255704581083438E-2</v>
      </c>
      <c r="I28" s="671"/>
    </row>
    <row r="29" spans="1:9" ht="18.75" customHeight="1" x14ac:dyDescent="0.3">
      <c r="A29" s="1326"/>
      <c r="B29" s="1289"/>
      <c r="C29" s="151" t="s">
        <v>7</v>
      </c>
      <c r="D29" s="65"/>
      <c r="E29" s="65"/>
      <c r="F29" s="36"/>
      <c r="G29" s="35"/>
      <c r="H29" s="130"/>
      <c r="I29" s="37"/>
    </row>
    <row r="30" spans="1:9" ht="17.25" thickBot="1" x14ac:dyDescent="0.35">
      <c r="A30" s="1327"/>
      <c r="B30" s="1374" t="s">
        <v>13</v>
      </c>
      <c r="C30" s="1374"/>
      <c r="D30" s="539">
        <f>SUM(D28:D29)</f>
        <v>57410000</v>
      </c>
      <c r="E30" s="539">
        <f t="shared" ref="E30:F30" si="7">SUM(E28:E29)</f>
        <v>52402391</v>
      </c>
      <c r="F30" s="601">
        <f t="shared" si="7"/>
        <v>54410000</v>
      </c>
      <c r="G30" s="603">
        <f t="shared" si="3"/>
        <v>-3000000</v>
      </c>
      <c r="H30" s="572">
        <f t="shared" si="6"/>
        <v>-5.2255704581083438E-2</v>
      </c>
      <c r="I30" s="42"/>
    </row>
    <row r="31" spans="1:9" ht="21" customHeight="1" x14ac:dyDescent="0.3">
      <c r="A31" s="1370" t="s">
        <v>163</v>
      </c>
      <c r="B31" s="1308" t="s">
        <v>163</v>
      </c>
      <c r="C31" s="147" t="s">
        <v>154</v>
      </c>
      <c r="D31" s="71"/>
      <c r="E31" s="71"/>
      <c r="F31" s="69"/>
      <c r="G31" s="69">
        <f t="shared" si="3"/>
        <v>0</v>
      </c>
      <c r="H31" s="222"/>
      <c r="I31" s="79"/>
    </row>
    <row r="32" spans="1:9" ht="21" customHeight="1" x14ac:dyDescent="0.3">
      <c r="A32" s="1364"/>
      <c r="B32" s="1288"/>
      <c r="C32" s="320" t="s">
        <v>155</v>
      </c>
      <c r="D32" s="66"/>
      <c r="E32" s="66"/>
      <c r="F32" s="66"/>
      <c r="G32" s="66">
        <f t="shared" si="3"/>
        <v>0</v>
      </c>
      <c r="H32" s="218"/>
      <c r="I32" s="83"/>
    </row>
    <row r="33" spans="1:9" ht="17.25" thickBot="1" x14ac:dyDescent="0.35">
      <c r="A33" s="1365"/>
      <c r="B33" s="321"/>
      <c r="C33" s="321" t="s">
        <v>13</v>
      </c>
      <c r="D33" s="73">
        <f>SUM(D31:D32)</f>
        <v>0</v>
      </c>
      <c r="E33" s="73">
        <f t="shared" ref="E33:F33" si="8">SUM(E31:E32)</f>
        <v>0</v>
      </c>
      <c r="F33" s="73">
        <f t="shared" si="8"/>
        <v>0</v>
      </c>
      <c r="G33" s="40">
        <f t="shared" si="3"/>
        <v>0</v>
      </c>
      <c r="H33" s="233"/>
      <c r="I33" s="81"/>
    </row>
    <row r="34" spans="1:9" ht="18" customHeight="1" thickBot="1" x14ac:dyDescent="0.35">
      <c r="A34" s="326"/>
      <c r="B34" s="1309" t="s">
        <v>4</v>
      </c>
      <c r="C34" s="319" t="s">
        <v>183</v>
      </c>
      <c r="D34" s="69"/>
      <c r="E34" s="69"/>
      <c r="F34" s="69"/>
      <c r="G34" s="40">
        <f t="shared" si="3"/>
        <v>0</v>
      </c>
      <c r="H34" s="233"/>
      <c r="I34" s="240"/>
    </row>
    <row r="35" spans="1:9" ht="18" customHeight="1" x14ac:dyDescent="0.3">
      <c r="A35" s="1303" t="s">
        <v>4</v>
      </c>
      <c r="B35" s="1288"/>
      <c r="C35" s="146" t="s">
        <v>184</v>
      </c>
      <c r="D35" s="66"/>
      <c r="E35" s="66"/>
      <c r="F35" s="44"/>
      <c r="G35" s="66">
        <f t="shared" si="3"/>
        <v>0</v>
      </c>
      <c r="H35" s="218"/>
      <c r="I35" s="83"/>
    </row>
    <row r="36" spans="1:9" ht="17.25" thickBot="1" x14ac:dyDescent="0.35">
      <c r="A36" s="1304"/>
      <c r="B36" s="1399" t="s">
        <v>13</v>
      </c>
      <c r="C36" s="1400"/>
      <c r="D36" s="241">
        <f>SUM(D34:D35)</f>
        <v>0</v>
      </c>
      <c r="E36" s="241">
        <f t="shared" ref="E36:F36" si="9">SUM(E34:E35)</f>
        <v>0</v>
      </c>
      <c r="F36" s="241">
        <f t="shared" si="9"/>
        <v>0</v>
      </c>
      <c r="G36" s="158">
        <f t="shared" si="3"/>
        <v>0</v>
      </c>
      <c r="H36" s="166"/>
      <c r="I36" s="42"/>
    </row>
    <row r="37" spans="1:9" ht="18" customHeight="1" x14ac:dyDescent="0.3">
      <c r="A37" s="1302" t="s">
        <v>170</v>
      </c>
      <c r="B37" s="1308" t="s">
        <v>170</v>
      </c>
      <c r="C37" s="149" t="s">
        <v>9</v>
      </c>
      <c r="D37" s="43">
        <v>94184</v>
      </c>
      <c r="E37" s="915">
        <v>94184</v>
      </c>
      <c r="F37" s="43">
        <v>94184</v>
      </c>
      <c r="G37" s="36">
        <f t="shared" si="3"/>
        <v>0</v>
      </c>
      <c r="H37" s="130">
        <f t="shared" ref="H37:H38" si="10">G37/D37*100%</f>
        <v>0</v>
      </c>
      <c r="I37" s="74"/>
    </row>
    <row r="38" spans="1:9" ht="18" customHeight="1" x14ac:dyDescent="0.3">
      <c r="A38" s="1303"/>
      <c r="B38" s="1288"/>
      <c r="C38" s="624" t="s">
        <v>174</v>
      </c>
      <c r="D38" s="133">
        <v>5201</v>
      </c>
      <c r="E38" s="923">
        <v>5201</v>
      </c>
      <c r="F38" s="133">
        <v>5201</v>
      </c>
      <c r="G38" s="36">
        <f t="shared" si="3"/>
        <v>0</v>
      </c>
      <c r="H38" s="134">
        <f t="shared" si="10"/>
        <v>0</v>
      </c>
      <c r="I38" s="239"/>
    </row>
    <row r="39" spans="1:9" ht="17.25" thickBot="1" x14ac:dyDescent="0.35">
      <c r="A39" s="1304"/>
      <c r="B39" s="1312" t="s">
        <v>13</v>
      </c>
      <c r="C39" s="1313"/>
      <c r="D39" s="519">
        <f>SUM(D37:D38)</f>
        <v>99385</v>
      </c>
      <c r="E39" s="519">
        <f t="shared" ref="E39:F39" si="11">SUM(E37:E38)</f>
        <v>99385</v>
      </c>
      <c r="F39" s="519">
        <f t="shared" si="11"/>
        <v>99385</v>
      </c>
      <c r="G39" s="520">
        <f t="shared" si="3"/>
        <v>0</v>
      </c>
      <c r="H39" s="653">
        <f t="shared" ref="H39" si="12">G39/D39*100</f>
        <v>0</v>
      </c>
      <c r="I39" s="299"/>
    </row>
    <row r="40" spans="1:9" ht="21.75" customHeight="1" x14ac:dyDescent="0.3">
      <c r="A40" s="1473" t="s">
        <v>172</v>
      </c>
      <c r="B40" s="1288" t="s">
        <v>172</v>
      </c>
      <c r="C40" s="618" t="s">
        <v>352</v>
      </c>
      <c r="D40" s="69"/>
      <c r="E40" s="69"/>
      <c r="F40" s="221"/>
      <c r="G40" s="36">
        <f t="shared" si="3"/>
        <v>0</v>
      </c>
      <c r="H40" s="222"/>
      <c r="I40" s="240"/>
    </row>
    <row r="41" spans="1:9" ht="21.75" customHeight="1" x14ac:dyDescent="0.3">
      <c r="A41" s="1473"/>
      <c r="B41" s="1288"/>
      <c r="C41" s="618" t="s">
        <v>173</v>
      </c>
      <c r="D41" s="44">
        <v>99615</v>
      </c>
      <c r="E41" s="916">
        <v>49637</v>
      </c>
      <c r="F41" s="44">
        <v>100325</v>
      </c>
      <c r="G41" s="36">
        <f t="shared" si="3"/>
        <v>710</v>
      </c>
      <c r="H41" s="218">
        <f t="shared" ref="H41" si="13">G41/D41*100%</f>
        <v>7.1274406464889827E-3</v>
      </c>
      <c r="I41" s="240"/>
    </row>
    <row r="42" spans="1:9" ht="21.75" customHeight="1" x14ac:dyDescent="0.3">
      <c r="A42" s="1457"/>
      <c r="B42" s="1289"/>
      <c r="C42" s="320" t="s">
        <v>175</v>
      </c>
      <c r="D42" s="66"/>
      <c r="E42" s="66"/>
      <c r="F42" s="44"/>
      <c r="G42" s="36">
        <f t="shared" si="3"/>
        <v>0</v>
      </c>
      <c r="H42" s="218"/>
      <c r="I42" s="83"/>
    </row>
    <row r="43" spans="1:9" ht="21.75" customHeight="1" x14ac:dyDescent="0.3">
      <c r="A43" s="1457"/>
      <c r="B43" s="1289"/>
      <c r="C43" s="320" t="s">
        <v>10</v>
      </c>
      <c r="D43" s="44">
        <v>9000</v>
      </c>
      <c r="E43" s="916"/>
      <c r="F43" s="44">
        <v>9000</v>
      </c>
      <c r="G43" s="36">
        <f t="shared" si="3"/>
        <v>0</v>
      </c>
      <c r="H43" s="218"/>
      <c r="I43" s="83"/>
    </row>
    <row r="44" spans="1:9" x14ac:dyDescent="0.3">
      <c r="A44" s="1474"/>
      <c r="B44" s="1390" t="s">
        <v>13</v>
      </c>
      <c r="C44" s="1390"/>
      <c r="D44" s="630">
        <f>SUM(D40:D43)</f>
        <v>108615</v>
      </c>
      <c r="E44" s="630">
        <f t="shared" ref="E44:F44" si="14">SUM(E40:E43)</f>
        <v>49637</v>
      </c>
      <c r="F44" s="630">
        <f t="shared" si="14"/>
        <v>109325</v>
      </c>
      <c r="G44" s="631">
        <f t="shared" si="3"/>
        <v>710</v>
      </c>
      <c r="H44" s="652">
        <f>G44/D44*100%</f>
        <v>6.5368503429544724E-3</v>
      </c>
      <c r="I44" s="83"/>
    </row>
    <row r="45" spans="1:9" ht="20.25" customHeight="1" x14ac:dyDescent="0.3">
      <c r="A45" s="1326" t="s">
        <v>176</v>
      </c>
      <c r="B45" s="1289" t="s">
        <v>177</v>
      </c>
      <c r="C45" s="320" t="s">
        <v>178</v>
      </c>
      <c r="D45" s="66"/>
      <c r="E45" s="66"/>
      <c r="F45" s="44"/>
      <c r="G45" s="36">
        <f t="shared" si="3"/>
        <v>0</v>
      </c>
      <c r="H45" s="218"/>
      <c r="I45" s="240"/>
    </row>
    <row r="46" spans="1:9" ht="20.25" customHeight="1" x14ac:dyDescent="0.3">
      <c r="A46" s="1326"/>
      <c r="B46" s="1289"/>
      <c r="C46" s="320" t="s">
        <v>179</v>
      </c>
      <c r="D46" s="66"/>
      <c r="E46" s="66"/>
      <c r="F46" s="44"/>
      <c r="G46" s="36">
        <f t="shared" si="3"/>
        <v>0</v>
      </c>
      <c r="H46" s="218"/>
      <c r="I46" s="83"/>
    </row>
    <row r="47" spans="1:9" ht="17.25" thickBot="1" x14ac:dyDescent="0.35">
      <c r="A47" s="1459"/>
      <c r="B47" s="1390" t="s">
        <v>13</v>
      </c>
      <c r="C47" s="1390"/>
      <c r="D47" s="131">
        <f>SUM(D45:D46)</f>
        <v>0</v>
      </c>
      <c r="E47" s="131">
        <f t="shared" ref="E47:F47" si="15">SUM(E45:E46)</f>
        <v>0</v>
      </c>
      <c r="F47" s="131">
        <f t="shared" si="15"/>
        <v>0</v>
      </c>
      <c r="G47" s="133">
        <f t="shared" si="3"/>
        <v>0</v>
      </c>
      <c r="H47" s="134"/>
      <c r="I47" s="135"/>
    </row>
    <row r="48" spans="1:9" s="649" customFormat="1" ht="17.25" thickBot="1" x14ac:dyDescent="0.35">
      <c r="A48" s="1391" t="s">
        <v>41</v>
      </c>
      <c r="B48" s="1392"/>
      <c r="C48" s="1393"/>
      <c r="D48" s="302">
        <f>SUM(D22,D27,D30,D36,D39,D44,D47)</f>
        <v>320870000</v>
      </c>
      <c r="E48" s="302">
        <f t="shared" ref="E48:F48" si="16">SUM(E22,E27,E30,E36,E39,E44,E47)</f>
        <v>309011273</v>
      </c>
      <c r="F48" s="302">
        <f t="shared" si="16"/>
        <v>316288000</v>
      </c>
      <c r="G48" s="606">
        <f t="shared" si="3"/>
        <v>-4582000</v>
      </c>
      <c r="H48" s="523">
        <f>G48/D48*100%</f>
        <v>-1.427992644996416E-2</v>
      </c>
      <c r="I48" s="78"/>
    </row>
    <row r="49" spans="1:9" ht="17.25" thickBot="1" x14ac:dyDescent="0.35">
      <c r="A49" s="1475" t="s">
        <v>66</v>
      </c>
      <c r="B49" s="1340"/>
      <c r="C49" s="1340"/>
      <c r="D49" s="1340"/>
      <c r="E49" s="1340"/>
      <c r="F49" s="1340"/>
      <c r="G49" s="1340"/>
      <c r="H49" s="1340"/>
      <c r="I49" s="1476"/>
    </row>
    <row r="50" spans="1:9" ht="17.45" customHeight="1" x14ac:dyDescent="0.3">
      <c r="A50" s="1314" t="s">
        <v>29</v>
      </c>
      <c r="B50" s="1315"/>
      <c r="C50" s="1315"/>
      <c r="D50" s="1273" t="s">
        <v>237</v>
      </c>
      <c r="E50" s="1273" t="s">
        <v>395</v>
      </c>
      <c r="F50" s="1273" t="s">
        <v>322</v>
      </c>
      <c r="G50" s="1273" t="s">
        <v>59</v>
      </c>
      <c r="H50" s="1275" t="s">
        <v>49</v>
      </c>
      <c r="I50" s="1277" t="s">
        <v>61</v>
      </c>
    </row>
    <row r="51" spans="1:9" ht="18" customHeight="1" thickBot="1" x14ac:dyDescent="0.35">
      <c r="A51" s="84" t="s">
        <v>0</v>
      </c>
      <c r="B51" s="136" t="s">
        <v>1</v>
      </c>
      <c r="C51" s="136" t="s">
        <v>2</v>
      </c>
      <c r="D51" s="1274"/>
      <c r="E51" s="1274"/>
      <c r="F51" s="1274"/>
      <c r="G51" s="1274"/>
      <c r="H51" s="1276"/>
      <c r="I51" s="1278"/>
    </row>
    <row r="52" spans="1:9" ht="18" customHeight="1" x14ac:dyDescent="0.3">
      <c r="A52" s="322" t="s">
        <v>185</v>
      </c>
      <c r="B52" s="1323" t="s">
        <v>186</v>
      </c>
      <c r="C52" s="536" t="s">
        <v>17</v>
      </c>
      <c r="D52" s="35">
        <v>134300470</v>
      </c>
      <c r="E52" s="917">
        <v>121588700</v>
      </c>
      <c r="F52" s="35">
        <v>132857960</v>
      </c>
      <c r="G52" s="43">
        <f>F52-D52</f>
        <v>-1442510</v>
      </c>
      <c r="H52" s="453">
        <f t="shared" ref="H52:H57" si="17">G52/D52*100%</f>
        <v>-1.0740915500891396E-2</v>
      </c>
      <c r="I52" s="544"/>
    </row>
    <row r="53" spans="1:9" ht="18" customHeight="1" x14ac:dyDescent="0.3">
      <c r="A53" s="328"/>
      <c r="B53" s="1289"/>
      <c r="C53" s="150" t="s">
        <v>32</v>
      </c>
      <c r="D53" s="35">
        <v>25637400</v>
      </c>
      <c r="E53" s="917">
        <v>24101400</v>
      </c>
      <c r="F53" s="35">
        <v>25476400</v>
      </c>
      <c r="G53" s="35">
        <f t="shared" ref="G53:G57" si="18">F53-D53</f>
        <v>-161000</v>
      </c>
      <c r="H53" s="130">
        <f t="shared" si="17"/>
        <v>-6.2798879761598288E-3</v>
      </c>
      <c r="I53" s="37"/>
    </row>
    <row r="54" spans="1:9" ht="18" customHeight="1" x14ac:dyDescent="0.3">
      <c r="A54" s="328"/>
      <c r="B54" s="1289"/>
      <c r="C54" s="150" t="s">
        <v>180</v>
      </c>
      <c r="D54" s="35"/>
      <c r="E54" s="918"/>
      <c r="F54" s="35"/>
      <c r="G54" s="35"/>
      <c r="H54" s="130"/>
      <c r="I54" s="37"/>
    </row>
    <row r="55" spans="1:9" ht="18" customHeight="1" x14ac:dyDescent="0.3">
      <c r="A55" s="328"/>
      <c r="B55" s="1289"/>
      <c r="C55" s="150" t="s">
        <v>84</v>
      </c>
      <c r="D55" s="35">
        <v>15223700</v>
      </c>
      <c r="E55" s="917">
        <v>13785410</v>
      </c>
      <c r="F55" s="35">
        <v>15062890</v>
      </c>
      <c r="G55" s="35">
        <f t="shared" si="18"/>
        <v>-160810</v>
      </c>
      <c r="H55" s="130">
        <f t="shared" si="17"/>
        <v>-1.0563135111700836E-2</v>
      </c>
      <c r="I55" s="37"/>
    </row>
    <row r="56" spans="1:9" ht="18" customHeight="1" x14ac:dyDescent="0.3">
      <c r="A56" s="328"/>
      <c r="B56" s="1289"/>
      <c r="C56" s="150" t="s">
        <v>33</v>
      </c>
      <c r="D56" s="35">
        <v>16105870</v>
      </c>
      <c r="E56" s="917">
        <v>13704440</v>
      </c>
      <c r="F56" s="35">
        <v>14997240</v>
      </c>
      <c r="G56" s="35">
        <f t="shared" si="18"/>
        <v>-1108630</v>
      </c>
      <c r="H56" s="130">
        <f t="shared" si="17"/>
        <v>-6.8833909624255007E-2</v>
      </c>
      <c r="I56" s="37"/>
    </row>
    <row r="57" spans="1:9" ht="18" customHeight="1" x14ac:dyDescent="0.3">
      <c r="A57" s="328"/>
      <c r="B57" s="1289"/>
      <c r="C57" s="150" t="s">
        <v>18</v>
      </c>
      <c r="D57" s="35">
        <v>3138340</v>
      </c>
      <c r="E57" s="917">
        <v>2593320</v>
      </c>
      <c r="F57" s="35">
        <v>2826620</v>
      </c>
      <c r="G57" s="35">
        <f t="shared" si="18"/>
        <v>-311720</v>
      </c>
      <c r="H57" s="130">
        <f t="shared" si="17"/>
        <v>-9.9326395482962335E-2</v>
      </c>
      <c r="I57" s="37"/>
    </row>
    <row r="58" spans="1:9" ht="17.25" thickBot="1" x14ac:dyDescent="0.35">
      <c r="A58" s="328"/>
      <c r="B58" s="1324"/>
      <c r="C58" s="538" t="s">
        <v>305</v>
      </c>
      <c r="D58" s="539">
        <f>SUM(D52:D57)</f>
        <v>194405780</v>
      </c>
      <c r="E58" s="539">
        <f t="shared" ref="E58:F58" si="19">SUM(E52:E57)</f>
        <v>175773270</v>
      </c>
      <c r="F58" s="539">
        <f t="shared" si="19"/>
        <v>191221110</v>
      </c>
      <c r="G58" s="605">
        <f t="shared" ref="G58:G112" si="20">F58-D58</f>
        <v>-3184670</v>
      </c>
      <c r="H58" s="540">
        <f>G58/D58*100%</f>
        <v>-1.6381560260193911E-2</v>
      </c>
      <c r="I58" s="41"/>
    </row>
    <row r="59" spans="1:9" ht="20.25" customHeight="1" x14ac:dyDescent="0.3">
      <c r="A59" s="328"/>
      <c r="B59" s="1323" t="s">
        <v>90</v>
      </c>
      <c r="C59" s="149" t="s">
        <v>19</v>
      </c>
      <c r="D59" s="35">
        <v>2500000</v>
      </c>
      <c r="E59" s="917">
        <v>546550</v>
      </c>
      <c r="F59" s="35">
        <v>1063000</v>
      </c>
      <c r="G59" s="43">
        <f t="shared" si="20"/>
        <v>-1437000</v>
      </c>
      <c r="H59" s="453">
        <f t="shared" ref="H59:H61" si="21">G59/D59*100%</f>
        <v>-0.57479999999999998</v>
      </c>
      <c r="I59" s="544"/>
    </row>
    <row r="60" spans="1:9" ht="20.25" customHeight="1" x14ac:dyDescent="0.3">
      <c r="A60" s="328"/>
      <c r="B60" s="1289"/>
      <c r="C60" s="219" t="s">
        <v>182</v>
      </c>
      <c r="D60" s="35">
        <v>1200000</v>
      </c>
      <c r="E60" s="917">
        <v>1100000</v>
      </c>
      <c r="F60" s="35">
        <v>1200000</v>
      </c>
      <c r="G60" s="36">
        <f t="shared" si="20"/>
        <v>0</v>
      </c>
      <c r="H60" s="130">
        <f t="shared" si="21"/>
        <v>0</v>
      </c>
      <c r="I60" s="37"/>
    </row>
    <row r="61" spans="1:9" ht="20.25" customHeight="1" x14ac:dyDescent="0.3">
      <c r="A61" s="328"/>
      <c r="B61" s="1289"/>
      <c r="C61" s="150" t="s">
        <v>20</v>
      </c>
      <c r="D61" s="35">
        <v>1000000</v>
      </c>
      <c r="E61" s="917">
        <v>250000</v>
      </c>
      <c r="F61" s="35">
        <v>1060000</v>
      </c>
      <c r="G61" s="36">
        <f t="shared" si="20"/>
        <v>60000</v>
      </c>
      <c r="H61" s="130">
        <f t="shared" si="21"/>
        <v>0.06</v>
      </c>
      <c r="I61" s="37"/>
    </row>
    <row r="62" spans="1:9" ht="17.25" thickBot="1" x14ac:dyDescent="0.35">
      <c r="A62" s="328"/>
      <c r="B62" s="1324"/>
      <c r="C62" s="579" t="s">
        <v>306</v>
      </c>
      <c r="D62" s="539">
        <f>SUM(D59:D61)</f>
        <v>4700000</v>
      </c>
      <c r="E62" s="539">
        <f t="shared" ref="E62:F62" si="22">SUM(E59:E61)</f>
        <v>1896550</v>
      </c>
      <c r="F62" s="539">
        <f t="shared" si="22"/>
        <v>3323000</v>
      </c>
      <c r="G62" s="605">
        <f t="shared" si="20"/>
        <v>-1377000</v>
      </c>
      <c r="H62" s="540">
        <f>G62/D62*100%</f>
        <v>-0.29297872340425529</v>
      </c>
      <c r="I62" s="41"/>
    </row>
    <row r="63" spans="1:9" ht="15" customHeight="1" x14ac:dyDescent="0.3">
      <c r="A63" s="328"/>
      <c r="B63" s="1323" t="s">
        <v>131</v>
      </c>
      <c r="C63" s="536" t="s">
        <v>21</v>
      </c>
      <c r="D63" s="35">
        <v>5500000</v>
      </c>
      <c r="E63" s="919">
        <v>4564070</v>
      </c>
      <c r="F63" s="35">
        <v>4564070</v>
      </c>
      <c r="G63" s="43">
        <f t="shared" si="20"/>
        <v>-935930</v>
      </c>
      <c r="H63" s="453">
        <f t="shared" ref="H63:H67" si="23">G63/D63*100%</f>
        <v>-0.17016909090909091</v>
      </c>
      <c r="I63" s="544"/>
    </row>
    <row r="64" spans="1:9" ht="15" customHeight="1" x14ac:dyDescent="0.3">
      <c r="A64" s="328"/>
      <c r="B64" s="1289"/>
      <c r="C64" s="150" t="s">
        <v>34</v>
      </c>
      <c r="D64" s="77">
        <v>7166144</v>
      </c>
      <c r="E64" s="920">
        <v>7739200</v>
      </c>
      <c r="F64" s="77">
        <v>9694374</v>
      </c>
      <c r="G64" s="36">
        <f t="shared" si="20"/>
        <v>2528230</v>
      </c>
      <c r="H64" s="130">
        <f t="shared" si="23"/>
        <v>0.35280200900233094</v>
      </c>
      <c r="I64" s="37"/>
    </row>
    <row r="65" spans="1:9" ht="15" customHeight="1" x14ac:dyDescent="0.3">
      <c r="A65" s="328"/>
      <c r="B65" s="1289"/>
      <c r="C65" s="150" t="s">
        <v>23</v>
      </c>
      <c r="D65" s="77">
        <v>2000000</v>
      </c>
      <c r="E65" s="913">
        <v>1244040</v>
      </c>
      <c r="F65" s="77">
        <v>1500000</v>
      </c>
      <c r="G65" s="35">
        <f t="shared" si="20"/>
        <v>-500000</v>
      </c>
      <c r="H65" s="130">
        <f t="shared" si="23"/>
        <v>-0.25</v>
      </c>
      <c r="I65" s="37"/>
    </row>
    <row r="66" spans="1:9" ht="15" customHeight="1" x14ac:dyDescent="0.3">
      <c r="A66" s="328"/>
      <c r="B66" s="1289"/>
      <c r="C66" s="150" t="s">
        <v>24</v>
      </c>
      <c r="D66" s="77">
        <v>1939410</v>
      </c>
      <c r="E66" s="913">
        <v>1944110</v>
      </c>
      <c r="F66" s="77">
        <v>1944110</v>
      </c>
      <c r="G66" s="36">
        <f t="shared" si="20"/>
        <v>4700</v>
      </c>
      <c r="H66" s="130">
        <f t="shared" si="23"/>
        <v>2.423417431074399E-3</v>
      </c>
      <c r="I66" s="37"/>
    </row>
    <row r="67" spans="1:9" ht="15" customHeight="1" x14ac:dyDescent="0.3">
      <c r="A67" s="323"/>
      <c r="B67" s="1289"/>
      <c r="C67" s="150" t="s">
        <v>35</v>
      </c>
      <c r="D67" s="156">
        <v>2350000</v>
      </c>
      <c r="E67" s="920">
        <v>2375600</v>
      </c>
      <c r="F67" s="156">
        <v>2900000</v>
      </c>
      <c r="G67" s="133">
        <f t="shared" si="20"/>
        <v>550000</v>
      </c>
      <c r="H67" s="134">
        <f t="shared" si="23"/>
        <v>0.23404255319148937</v>
      </c>
      <c r="I67" s="76"/>
    </row>
    <row r="68" spans="1:9" ht="15" customHeight="1" x14ac:dyDescent="0.3">
      <c r="A68" s="323"/>
      <c r="B68" s="1289"/>
      <c r="C68" s="624" t="s">
        <v>86</v>
      </c>
      <c r="D68" s="44"/>
      <c r="E68" s="44"/>
      <c r="F68" s="44"/>
      <c r="G68" s="66">
        <f t="shared" si="20"/>
        <v>0</v>
      </c>
      <c r="H68" s="218"/>
      <c r="I68" s="83"/>
    </row>
    <row r="69" spans="1:9" ht="15" customHeight="1" x14ac:dyDescent="0.3">
      <c r="A69" s="323"/>
      <c r="B69" s="1289"/>
      <c r="C69" s="624" t="s">
        <v>36</v>
      </c>
      <c r="D69" s="44"/>
      <c r="E69" s="44"/>
      <c r="F69" s="44"/>
      <c r="G69" s="66">
        <f t="shared" si="20"/>
        <v>0</v>
      </c>
      <c r="H69" s="218"/>
      <c r="I69" s="83"/>
    </row>
    <row r="70" spans="1:9" ht="17.25" thickBot="1" x14ac:dyDescent="0.35">
      <c r="A70" s="323"/>
      <c r="B70" s="1324"/>
      <c r="C70" s="545" t="s">
        <v>307</v>
      </c>
      <c r="D70" s="580">
        <f>SUM(D63:D69)</f>
        <v>18955554</v>
      </c>
      <c r="E70" s="580">
        <f t="shared" ref="E70:F70" si="24">SUM(E63:E69)</f>
        <v>17867020</v>
      </c>
      <c r="F70" s="580">
        <f t="shared" si="24"/>
        <v>20602554</v>
      </c>
      <c r="G70" s="520">
        <f t="shared" si="20"/>
        <v>1647000</v>
      </c>
      <c r="H70" s="540">
        <f>G70/D70*100%</f>
        <v>8.688746316778713E-2</v>
      </c>
      <c r="I70" s="42"/>
    </row>
    <row r="71" spans="1:9" ht="17.25" thickBot="1" x14ac:dyDescent="0.35">
      <c r="A71" s="324" t="s">
        <v>123</v>
      </c>
      <c r="B71" s="1321" t="s">
        <v>13</v>
      </c>
      <c r="C71" s="1322"/>
      <c r="D71" s="582">
        <f>SUM(D58,D62,D70)</f>
        <v>218061334</v>
      </c>
      <c r="E71" s="520">
        <f t="shared" ref="E71:F71" si="25">SUM(E58,E62,E70)</f>
        <v>195536840</v>
      </c>
      <c r="F71" s="582">
        <f t="shared" si="25"/>
        <v>215146664</v>
      </c>
      <c r="G71" s="605">
        <f t="shared" si="20"/>
        <v>-2914670</v>
      </c>
      <c r="H71" s="656">
        <f>G71/D71*100%</f>
        <v>-1.3366285285588503E-2</v>
      </c>
      <c r="I71" s="41"/>
    </row>
    <row r="72" spans="1:9" ht="17.25" customHeight="1" x14ac:dyDescent="0.3">
      <c r="A72" s="1325" t="s">
        <v>189</v>
      </c>
      <c r="B72" s="1288" t="s">
        <v>42</v>
      </c>
      <c r="C72" s="151" t="s">
        <v>11</v>
      </c>
      <c r="D72" s="541">
        <v>5050000</v>
      </c>
      <c r="E72" s="924">
        <v>5047220</v>
      </c>
      <c r="F72" s="541">
        <v>5047220</v>
      </c>
      <c r="G72" s="612">
        <f t="shared" si="20"/>
        <v>-2780</v>
      </c>
      <c r="H72" s="657">
        <f t="shared" ref="H72:H75" si="26">G72/D72*100</f>
        <v>-5.504950495049505E-2</v>
      </c>
      <c r="I72" s="37"/>
    </row>
    <row r="73" spans="1:9" ht="17.25" customHeight="1" x14ac:dyDescent="0.3">
      <c r="A73" s="1325"/>
      <c r="B73" s="1288"/>
      <c r="C73" s="480" t="s">
        <v>338</v>
      </c>
      <c r="D73" s="547"/>
      <c r="E73" s="224"/>
      <c r="F73" s="548"/>
      <c r="G73" s="35"/>
      <c r="H73" s="167"/>
      <c r="I73" s="37"/>
    </row>
    <row r="74" spans="1:9" ht="17.25" customHeight="1" x14ac:dyDescent="0.3">
      <c r="A74" s="1326"/>
      <c r="B74" s="1289"/>
      <c r="C74" s="146" t="s">
        <v>37</v>
      </c>
      <c r="D74" s="209"/>
      <c r="E74" s="44"/>
      <c r="F74" s="77"/>
      <c r="G74" s="35">
        <f t="shared" si="20"/>
        <v>0</v>
      </c>
      <c r="H74" s="167"/>
      <c r="I74" s="37"/>
    </row>
    <row r="75" spans="1:9" ht="17.25" thickBot="1" x14ac:dyDescent="0.35">
      <c r="A75" s="1327"/>
      <c r="B75" s="1300" t="s">
        <v>13</v>
      </c>
      <c r="C75" s="1301"/>
      <c r="D75" s="569">
        <f>SUM(D72:D74)</f>
        <v>5050000</v>
      </c>
      <c r="E75" s="569">
        <f t="shared" ref="E75:F75" si="27">SUM(E72:E74)</f>
        <v>5047220</v>
      </c>
      <c r="F75" s="569">
        <f t="shared" si="27"/>
        <v>5047220</v>
      </c>
      <c r="G75" s="605"/>
      <c r="H75" s="577">
        <f t="shared" si="26"/>
        <v>0</v>
      </c>
      <c r="I75" s="42"/>
    </row>
    <row r="76" spans="1:9" x14ac:dyDescent="0.3">
      <c r="A76" s="1302" t="s">
        <v>270</v>
      </c>
      <c r="B76" s="1305" t="s">
        <v>131</v>
      </c>
      <c r="C76" s="585" t="s">
        <v>132</v>
      </c>
      <c r="D76" s="70"/>
      <c r="E76" s="70"/>
      <c r="F76" s="70"/>
      <c r="G76" s="71">
        <f t="shared" si="20"/>
        <v>0</v>
      </c>
      <c r="H76" s="455"/>
      <c r="I76" s="79"/>
    </row>
    <row r="77" spans="1:9" x14ac:dyDescent="0.3">
      <c r="A77" s="1303"/>
      <c r="B77" s="1306"/>
      <c r="C77" s="622" t="s">
        <v>133</v>
      </c>
      <c r="D77" s="221"/>
      <c r="E77" s="221"/>
      <c r="F77" s="221"/>
      <c r="G77" s="66">
        <f t="shared" si="20"/>
        <v>0</v>
      </c>
      <c r="H77" s="218"/>
      <c r="I77" s="240"/>
    </row>
    <row r="78" spans="1:9" x14ac:dyDescent="0.3">
      <c r="A78" s="1303"/>
      <c r="B78" s="1306"/>
      <c r="C78" s="622" t="s">
        <v>194</v>
      </c>
      <c r="D78" s="221"/>
      <c r="E78" s="221"/>
      <c r="F78" s="221"/>
      <c r="G78" s="66">
        <f t="shared" si="20"/>
        <v>0</v>
      </c>
      <c r="H78" s="218"/>
      <c r="I78" s="240"/>
    </row>
    <row r="79" spans="1:9" x14ac:dyDescent="0.3">
      <c r="A79" s="1303"/>
      <c r="B79" s="1306"/>
      <c r="C79" s="230" t="s">
        <v>134</v>
      </c>
      <c r="D79" s="44"/>
      <c r="E79" s="44"/>
      <c r="F79" s="44"/>
      <c r="G79" s="66">
        <f t="shared" si="20"/>
        <v>0</v>
      </c>
      <c r="H79" s="218"/>
      <c r="I79" s="83"/>
    </row>
    <row r="80" spans="1:9" x14ac:dyDescent="0.3">
      <c r="A80" s="1303"/>
      <c r="B80" s="1306"/>
      <c r="C80" s="230" t="s">
        <v>195</v>
      </c>
      <c r="D80" s="44"/>
      <c r="E80" s="44"/>
      <c r="F80" s="44"/>
      <c r="G80" s="66">
        <f t="shared" si="20"/>
        <v>0</v>
      </c>
      <c r="H80" s="218"/>
      <c r="I80" s="83"/>
    </row>
    <row r="81" spans="1:9" x14ac:dyDescent="0.3">
      <c r="A81" s="1303"/>
      <c r="B81" s="1462"/>
      <c r="C81" s="228" t="s">
        <v>308</v>
      </c>
      <c r="D81" s="66">
        <f>SUM(D76:D80)</f>
        <v>0</v>
      </c>
      <c r="E81" s="66">
        <f t="shared" ref="E81:F81" si="28">SUM(E76:E80)</f>
        <v>0</v>
      </c>
      <c r="F81" s="66">
        <f t="shared" si="28"/>
        <v>0</v>
      </c>
      <c r="G81" s="66">
        <f t="shared" si="20"/>
        <v>0</v>
      </c>
      <c r="H81" s="218"/>
      <c r="I81" s="83"/>
    </row>
    <row r="82" spans="1:9" ht="16.5" customHeight="1" x14ac:dyDescent="0.3">
      <c r="A82" s="1303"/>
      <c r="B82" s="1479" t="s">
        <v>197</v>
      </c>
      <c r="C82" s="624" t="s">
        <v>164</v>
      </c>
      <c r="D82" s="44"/>
      <c r="E82" s="44"/>
      <c r="F82" s="44"/>
      <c r="G82" s="66">
        <f t="shared" si="20"/>
        <v>0</v>
      </c>
      <c r="H82" s="218"/>
      <c r="I82" s="83"/>
    </row>
    <row r="83" spans="1:9" ht="16.5" customHeight="1" x14ac:dyDescent="0.3">
      <c r="A83" s="1303"/>
      <c r="B83" s="1309"/>
      <c r="C83" s="624" t="s">
        <v>191</v>
      </c>
      <c r="D83" s="44"/>
      <c r="E83" s="44"/>
      <c r="F83" s="44"/>
      <c r="G83" s="66">
        <f t="shared" si="20"/>
        <v>0</v>
      </c>
      <c r="H83" s="218"/>
      <c r="I83" s="83"/>
    </row>
    <row r="84" spans="1:9" ht="16.5" customHeight="1" x14ac:dyDescent="0.3">
      <c r="A84" s="1303"/>
      <c r="B84" s="1309"/>
      <c r="C84" s="624" t="s">
        <v>192</v>
      </c>
      <c r="D84" s="44"/>
      <c r="E84" s="44"/>
      <c r="F84" s="44"/>
      <c r="G84" s="66">
        <f t="shared" si="20"/>
        <v>0</v>
      </c>
      <c r="H84" s="218"/>
      <c r="I84" s="83"/>
    </row>
    <row r="85" spans="1:9" ht="16.5" customHeight="1" x14ac:dyDescent="0.3">
      <c r="A85" s="1303"/>
      <c r="B85" s="1309"/>
      <c r="C85" s="624" t="s">
        <v>140</v>
      </c>
      <c r="D85" s="44"/>
      <c r="E85" s="44"/>
      <c r="F85" s="44"/>
      <c r="G85" s="66">
        <f t="shared" si="20"/>
        <v>0</v>
      </c>
      <c r="H85" s="218"/>
      <c r="I85" s="83"/>
    </row>
    <row r="86" spans="1:9" ht="16.5" customHeight="1" x14ac:dyDescent="0.3">
      <c r="A86" s="1303"/>
      <c r="B86" s="1309"/>
      <c r="C86" s="624" t="s">
        <v>137</v>
      </c>
      <c r="D86" s="44"/>
      <c r="E86" s="44"/>
      <c r="F86" s="44"/>
      <c r="G86" s="66">
        <f t="shared" si="20"/>
        <v>0</v>
      </c>
      <c r="H86" s="218"/>
      <c r="I86" s="83"/>
    </row>
    <row r="87" spans="1:9" ht="16.5" customHeight="1" x14ac:dyDescent="0.3">
      <c r="A87" s="1303"/>
      <c r="B87" s="1309"/>
      <c r="C87" s="624" t="s">
        <v>141</v>
      </c>
      <c r="D87" s="44"/>
      <c r="E87" s="44"/>
      <c r="F87" s="44"/>
      <c r="G87" s="66">
        <f t="shared" si="20"/>
        <v>0</v>
      </c>
      <c r="H87" s="218"/>
      <c r="I87" s="83"/>
    </row>
    <row r="88" spans="1:9" ht="16.5" customHeight="1" x14ac:dyDescent="0.3">
      <c r="A88" s="1303"/>
      <c r="B88" s="1309"/>
      <c r="C88" s="624" t="s">
        <v>138</v>
      </c>
      <c r="D88" s="44"/>
      <c r="E88" s="44"/>
      <c r="F88" s="44"/>
      <c r="G88" s="66">
        <f t="shared" si="20"/>
        <v>0</v>
      </c>
      <c r="H88" s="218"/>
      <c r="I88" s="83"/>
    </row>
    <row r="89" spans="1:9" ht="16.5" customHeight="1" x14ac:dyDescent="0.3">
      <c r="A89" s="1303"/>
      <c r="B89" s="1309"/>
      <c r="C89" s="624" t="s">
        <v>139</v>
      </c>
      <c r="D89" s="44"/>
      <c r="E89" s="44"/>
      <c r="F89" s="44"/>
      <c r="G89" s="66">
        <f t="shared" si="20"/>
        <v>0</v>
      </c>
      <c r="H89" s="218"/>
      <c r="I89" s="83"/>
    </row>
    <row r="90" spans="1:9" ht="16.5" customHeight="1" x14ac:dyDescent="0.3">
      <c r="A90" s="1303"/>
      <c r="B90" s="1309"/>
      <c r="C90" s="624" t="s">
        <v>136</v>
      </c>
      <c r="D90" s="44"/>
      <c r="E90" s="44"/>
      <c r="F90" s="44"/>
      <c r="G90" s="66">
        <f t="shared" si="20"/>
        <v>0</v>
      </c>
      <c r="H90" s="218"/>
      <c r="I90" s="83"/>
    </row>
    <row r="91" spans="1:9" ht="16.5" customHeight="1" x14ac:dyDescent="0.3">
      <c r="A91" s="1303"/>
      <c r="B91" s="1309"/>
      <c r="C91" s="624" t="s">
        <v>135</v>
      </c>
      <c r="D91" s="44"/>
      <c r="E91" s="44"/>
      <c r="F91" s="44"/>
      <c r="G91" s="66">
        <f t="shared" si="20"/>
        <v>0</v>
      </c>
      <c r="H91" s="218"/>
      <c r="I91" s="83"/>
    </row>
    <row r="92" spans="1:9" ht="16.5" customHeight="1" x14ac:dyDescent="0.3">
      <c r="A92" s="1303"/>
      <c r="B92" s="1309"/>
      <c r="C92" s="624" t="s">
        <v>193</v>
      </c>
      <c r="D92" s="44"/>
      <c r="E92" s="44"/>
      <c r="F92" s="44"/>
      <c r="G92" s="66">
        <f t="shared" si="20"/>
        <v>0</v>
      </c>
      <c r="H92" s="218"/>
      <c r="I92" s="83"/>
    </row>
    <row r="93" spans="1:9" ht="16.5" customHeight="1" x14ac:dyDescent="0.3">
      <c r="A93" s="1303"/>
      <c r="B93" s="1309"/>
      <c r="C93" s="624" t="s">
        <v>239</v>
      </c>
      <c r="D93" s="44"/>
      <c r="E93" s="44"/>
      <c r="F93" s="44"/>
      <c r="G93" s="66">
        <f t="shared" si="20"/>
        <v>0</v>
      </c>
      <c r="H93" s="218"/>
      <c r="I93" s="83"/>
    </row>
    <row r="94" spans="1:9" ht="16.5" customHeight="1" x14ac:dyDescent="0.3">
      <c r="A94" s="1303"/>
      <c r="B94" s="1309"/>
      <c r="C94" s="624" t="s">
        <v>240</v>
      </c>
      <c r="D94" s="44"/>
      <c r="E94" s="44"/>
      <c r="F94" s="44"/>
      <c r="G94" s="66">
        <f t="shared" si="20"/>
        <v>0</v>
      </c>
      <c r="H94" s="218"/>
      <c r="I94" s="83"/>
    </row>
    <row r="95" spans="1:9" ht="16.5" customHeight="1" x14ac:dyDescent="0.3">
      <c r="A95" s="1303"/>
      <c r="B95" s="1309"/>
      <c r="C95" s="624" t="s">
        <v>241</v>
      </c>
      <c r="D95" s="44">
        <v>96376000</v>
      </c>
      <c r="E95" s="913">
        <v>74091790</v>
      </c>
      <c r="F95" s="44">
        <v>91376000</v>
      </c>
      <c r="G95" s="44">
        <f t="shared" si="20"/>
        <v>-5000000</v>
      </c>
      <c r="H95" s="218">
        <f t="shared" ref="H95" si="29">G95/D95*100%</f>
        <v>-5.1880136133477216E-2</v>
      </c>
      <c r="I95" s="672"/>
    </row>
    <row r="96" spans="1:9" ht="16.5" customHeight="1" x14ac:dyDescent="0.3">
      <c r="A96" s="1303"/>
      <c r="B96" s="1309"/>
      <c r="C96" s="624" t="s">
        <v>242</v>
      </c>
      <c r="D96" s="44"/>
      <c r="E96" s="44"/>
      <c r="F96" s="44"/>
      <c r="G96" s="44"/>
      <c r="H96" s="218"/>
      <c r="I96" s="83"/>
    </row>
    <row r="97" spans="1:9" ht="16.5" customHeight="1" x14ac:dyDescent="0.3">
      <c r="A97" s="1303"/>
      <c r="B97" s="1309"/>
      <c r="C97" s="624" t="s">
        <v>243</v>
      </c>
      <c r="D97" s="44"/>
      <c r="E97" s="44"/>
      <c r="F97" s="44"/>
      <c r="G97" s="44"/>
      <c r="H97" s="218"/>
      <c r="I97" s="83"/>
    </row>
    <row r="98" spans="1:9" ht="16.5" customHeight="1" x14ac:dyDescent="0.3">
      <c r="A98" s="1303"/>
      <c r="B98" s="1309"/>
      <c r="C98" s="624" t="s">
        <v>244</v>
      </c>
      <c r="D98" s="44"/>
      <c r="E98" s="44"/>
      <c r="F98" s="44"/>
      <c r="G98" s="44"/>
      <c r="H98" s="218"/>
      <c r="I98" s="83"/>
    </row>
    <row r="99" spans="1:9" ht="16.5" customHeight="1" x14ac:dyDescent="0.3">
      <c r="A99" s="1303"/>
      <c r="B99" s="1309"/>
      <c r="C99" s="624" t="s">
        <v>245</v>
      </c>
      <c r="D99" s="44"/>
      <c r="E99" s="44"/>
      <c r="F99" s="44"/>
      <c r="G99" s="44"/>
      <c r="H99" s="218"/>
      <c r="I99" s="83"/>
    </row>
    <row r="100" spans="1:9" ht="16.5" customHeight="1" x14ac:dyDescent="0.3">
      <c r="A100" s="1303"/>
      <c r="B100" s="1309"/>
      <c r="C100" s="624" t="s">
        <v>232</v>
      </c>
      <c r="D100" s="44"/>
      <c r="E100" s="44"/>
      <c r="F100" s="44"/>
      <c r="G100" s="44"/>
      <c r="H100" s="218"/>
      <c r="I100" s="83"/>
    </row>
    <row r="101" spans="1:9" ht="16.5" customHeight="1" x14ac:dyDescent="0.3">
      <c r="A101" s="1303"/>
      <c r="B101" s="1309"/>
      <c r="C101" s="624" t="s">
        <v>233</v>
      </c>
      <c r="D101" s="44"/>
      <c r="E101" s="44"/>
      <c r="F101" s="44"/>
      <c r="G101" s="44"/>
      <c r="H101" s="218"/>
      <c r="I101" s="83"/>
    </row>
    <row r="102" spans="1:9" ht="16.5" customHeight="1" x14ac:dyDescent="0.3">
      <c r="A102" s="1303"/>
      <c r="B102" s="1309"/>
      <c r="C102" s="624" t="s">
        <v>234</v>
      </c>
      <c r="D102" s="44"/>
      <c r="E102" s="44"/>
      <c r="F102" s="44"/>
      <c r="G102" s="44"/>
      <c r="H102" s="218"/>
      <c r="I102" s="83"/>
    </row>
    <row r="103" spans="1:9" ht="16.5" customHeight="1" x14ac:dyDescent="0.3">
      <c r="A103" s="1303"/>
      <c r="B103" s="1309"/>
      <c r="C103" s="624" t="s">
        <v>235</v>
      </c>
      <c r="D103" s="44"/>
      <c r="E103" s="44"/>
      <c r="F103" s="44"/>
      <c r="G103" s="44"/>
      <c r="H103" s="218"/>
      <c r="I103" s="83"/>
    </row>
    <row r="104" spans="1:9" ht="17.25" thickBot="1" x14ac:dyDescent="0.35">
      <c r="A104" s="1303"/>
      <c r="B104" s="1310"/>
      <c r="C104" s="478" t="s">
        <v>309</v>
      </c>
      <c r="D104" s="519">
        <f>SUM(D82:D103)</f>
        <v>96376000</v>
      </c>
      <c r="E104" s="519">
        <f>SUM(E82:E103)</f>
        <v>74091790</v>
      </c>
      <c r="F104" s="519">
        <f>SUM(F82:F103)</f>
        <v>91376000</v>
      </c>
      <c r="G104" s="743">
        <f t="shared" si="20"/>
        <v>-5000000</v>
      </c>
      <c r="H104" s="653">
        <f>G104/D104*100%</f>
        <v>-5.1880136133477216E-2</v>
      </c>
      <c r="I104" s="81"/>
    </row>
    <row r="105" spans="1:9" ht="17.25" thickBot="1" x14ac:dyDescent="0.35">
      <c r="A105" s="1304"/>
      <c r="B105" s="1311" t="s">
        <v>13</v>
      </c>
      <c r="C105" s="1311"/>
      <c r="D105" s="629">
        <f>SUM(D81,D104)</f>
        <v>96376000</v>
      </c>
      <c r="E105" s="629">
        <f>SUM(E81,E104)</f>
        <v>74091790</v>
      </c>
      <c r="F105" s="629">
        <f>SUM(F81,F104)</f>
        <v>91376000</v>
      </c>
      <c r="G105" s="605">
        <f t="shared" si="20"/>
        <v>-5000000</v>
      </c>
      <c r="H105" s="658">
        <f>G105/D105*100%</f>
        <v>-5.1880136133477216E-2</v>
      </c>
      <c r="I105" s="573"/>
    </row>
    <row r="106" spans="1:9" x14ac:dyDescent="0.3">
      <c r="A106" s="1303" t="s">
        <v>5</v>
      </c>
      <c r="B106" s="325" t="s">
        <v>276</v>
      </c>
      <c r="C106" s="327" t="s">
        <v>8</v>
      </c>
      <c r="D106" s="216"/>
      <c r="E106" s="69"/>
      <c r="F106" s="77"/>
      <c r="G106" s="36">
        <f t="shared" si="20"/>
        <v>0</v>
      </c>
      <c r="H106" s="167"/>
      <c r="I106" s="37"/>
    </row>
    <row r="107" spans="1:9" ht="17.25" thickBot="1" x14ac:dyDescent="0.35">
      <c r="A107" s="1304"/>
      <c r="B107" s="1482" t="s">
        <v>13</v>
      </c>
      <c r="C107" s="1483"/>
      <c r="D107" s="210">
        <f>D106</f>
        <v>0</v>
      </c>
      <c r="E107" s="210">
        <f t="shared" ref="E107:F107" si="30">E106</f>
        <v>0</v>
      </c>
      <c r="F107" s="210">
        <f t="shared" si="30"/>
        <v>0</v>
      </c>
      <c r="G107" s="158">
        <f t="shared" si="20"/>
        <v>0</v>
      </c>
      <c r="H107" s="166"/>
      <c r="I107" s="42"/>
    </row>
    <row r="108" spans="1:9" x14ac:dyDescent="0.3">
      <c r="A108" s="1286" t="s">
        <v>277</v>
      </c>
      <c r="B108" s="1288" t="s">
        <v>198</v>
      </c>
      <c r="C108" s="319" t="s">
        <v>65</v>
      </c>
      <c r="D108" s="214">
        <v>111034</v>
      </c>
      <c r="E108" s="914"/>
      <c r="F108" s="214">
        <v>2111744</v>
      </c>
      <c r="G108" s="157">
        <f t="shared" si="20"/>
        <v>2000710</v>
      </c>
      <c r="H108" s="130">
        <f t="shared" ref="H108:H109" si="31">G108/D108*100%</f>
        <v>18.018895113208568</v>
      </c>
      <c r="I108" s="39"/>
    </row>
    <row r="109" spans="1:9" x14ac:dyDescent="0.3">
      <c r="A109" s="1286"/>
      <c r="B109" s="1289"/>
      <c r="C109" s="320" t="s">
        <v>38</v>
      </c>
      <c r="D109" s="77">
        <v>1271632</v>
      </c>
      <c r="E109" s="913">
        <v>124092</v>
      </c>
      <c r="F109" s="77">
        <v>2606372</v>
      </c>
      <c r="G109" s="36">
        <f t="shared" si="20"/>
        <v>1334740</v>
      </c>
      <c r="H109" s="130">
        <f t="shared" si="31"/>
        <v>1.0496275652075444</v>
      </c>
      <c r="I109" s="37"/>
    </row>
    <row r="110" spans="1:9" ht="17.25" thickBot="1" x14ac:dyDescent="0.35">
      <c r="A110" s="1461"/>
      <c r="B110" s="1480" t="s">
        <v>13</v>
      </c>
      <c r="C110" s="1481"/>
      <c r="D110" s="576">
        <f>SUM(D108:D109)</f>
        <v>1382666</v>
      </c>
      <c r="E110" s="576">
        <f t="shared" ref="E110:F110" si="32">SUM(E108:E109)</f>
        <v>124092</v>
      </c>
      <c r="F110" s="576">
        <f t="shared" si="32"/>
        <v>4718116</v>
      </c>
      <c r="G110" s="587">
        <f t="shared" si="20"/>
        <v>3335450</v>
      </c>
      <c r="H110" s="656">
        <f>G110/D110*100%</f>
        <v>2.4123324071033787</v>
      </c>
      <c r="I110" s="42"/>
    </row>
    <row r="111" spans="1:9" ht="17.25" thickBot="1" x14ac:dyDescent="0.35">
      <c r="A111" s="152" t="s">
        <v>43</v>
      </c>
      <c r="B111" s="153" t="s">
        <v>43</v>
      </c>
      <c r="C111" s="220" t="s">
        <v>68</v>
      </c>
      <c r="D111" s="213"/>
      <c r="E111" s="221"/>
      <c r="F111" s="215"/>
      <c r="G111" s="133">
        <f t="shared" si="20"/>
        <v>0</v>
      </c>
      <c r="H111" s="168"/>
      <c r="I111" s="138"/>
    </row>
    <row r="112" spans="1:9" ht="17.25" thickBot="1" x14ac:dyDescent="0.35">
      <c r="A112" s="1391" t="s">
        <v>41</v>
      </c>
      <c r="B112" s="1392"/>
      <c r="C112" s="1393"/>
      <c r="D112" s="302">
        <f>SUM(D71,D75,D105,D107,D110,D111)</f>
        <v>320870000</v>
      </c>
      <c r="E112" s="302">
        <f>SUM(E71,E75,E105,E107,E110,E111)</f>
        <v>274799942</v>
      </c>
      <c r="F112" s="302">
        <f>SUM(F71,F75,F105,F107,F110,F111)</f>
        <v>316288000</v>
      </c>
      <c r="G112" s="606">
        <f t="shared" si="20"/>
        <v>-4582000</v>
      </c>
      <c r="H112" s="523">
        <f>G112/D112*100%</f>
        <v>-1.427992644996416E-2</v>
      </c>
      <c r="I112" s="78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99"/>
  </sheetPr>
  <dimension ref="A2:I112"/>
  <sheetViews>
    <sheetView topLeftCell="A13" workbookViewId="0">
      <selection activeCell="I108" sqref="I108"/>
    </sheetView>
  </sheetViews>
  <sheetFormatPr defaultRowHeight="16.5" x14ac:dyDescent="0.3"/>
  <cols>
    <col min="1" max="1" width="12.375" customWidth="1"/>
    <col min="2" max="2" width="14.125" customWidth="1"/>
    <col min="3" max="3" width="21" customWidth="1"/>
    <col min="4" max="4" width="18" customWidth="1"/>
    <col min="5" max="5" width="18.375" customWidth="1"/>
    <col min="6" max="7" width="18.5" customWidth="1"/>
    <col min="8" max="8" width="10.5" customWidth="1"/>
    <col min="9" max="9" width="53.875" customWidth="1"/>
  </cols>
  <sheetData>
    <row r="2" spans="1:9" ht="27" customHeight="1" x14ac:dyDescent="0.3">
      <c r="A2" s="1464" t="s">
        <v>228</v>
      </c>
      <c r="B2" s="1465"/>
      <c r="C2" s="1465"/>
      <c r="D2" s="1465"/>
      <c r="E2" s="1465"/>
      <c r="F2" s="1465"/>
      <c r="G2" s="1465"/>
      <c r="H2" s="1465"/>
      <c r="I2" s="1465"/>
    </row>
    <row r="3" spans="1:9" ht="16.5" customHeight="1" x14ac:dyDescent="0.3">
      <c r="A3" s="1435" t="s">
        <v>414</v>
      </c>
      <c r="B3" s="1435"/>
      <c r="C3" s="1435"/>
      <c r="D3" s="1435"/>
      <c r="E3" s="1435"/>
      <c r="F3" s="1435"/>
      <c r="G3" s="1435"/>
      <c r="H3" s="1435"/>
      <c r="I3" s="1435"/>
    </row>
    <row r="4" spans="1:9" ht="16.5" customHeight="1" x14ac:dyDescent="0.3">
      <c r="A4" s="1435"/>
      <c r="B4" s="1435"/>
      <c r="C4" s="1435"/>
      <c r="D4" s="1435"/>
      <c r="E4" s="1435"/>
      <c r="F4" s="1435"/>
      <c r="G4" s="1435"/>
      <c r="H4" s="1435"/>
      <c r="I4" s="1435"/>
    </row>
    <row r="5" spans="1:9" ht="17.25" thickBot="1" x14ac:dyDescent="0.35">
      <c r="A5" s="1466" t="s">
        <v>227</v>
      </c>
      <c r="B5" s="1466"/>
      <c r="C5" s="1466"/>
      <c r="D5" s="1466"/>
      <c r="E5" s="1466"/>
      <c r="F5" s="1466"/>
      <c r="G5" s="1466"/>
      <c r="H5" s="1466"/>
      <c r="I5" s="1466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399</v>
      </c>
      <c r="F6" s="1273" t="s">
        <v>236</v>
      </c>
      <c r="G6" s="1273" t="s">
        <v>59</v>
      </c>
      <c r="H6" s="127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276"/>
      <c r="I7" s="1278"/>
    </row>
    <row r="8" spans="1:9" ht="19.5" customHeight="1" x14ac:dyDescent="0.3">
      <c r="A8" s="1364" t="s">
        <v>165</v>
      </c>
      <c r="B8" s="1309" t="s">
        <v>166</v>
      </c>
      <c r="C8" s="319" t="s">
        <v>147</v>
      </c>
      <c r="D8" s="236"/>
      <c r="E8" s="236"/>
      <c r="F8" s="236"/>
      <c r="G8" s="243">
        <f>F8-D8</f>
        <v>0</v>
      </c>
      <c r="H8" s="237"/>
      <c r="I8" s="293"/>
    </row>
    <row r="9" spans="1:9" ht="19.5" customHeight="1" x14ac:dyDescent="0.3">
      <c r="A9" s="1364"/>
      <c r="B9" s="1309"/>
      <c r="C9" s="320" t="s">
        <v>150</v>
      </c>
      <c r="D9" s="231"/>
      <c r="E9" s="231"/>
      <c r="F9" s="231"/>
      <c r="G9" s="243">
        <f t="shared" ref="G9:G20" si="0">F9-D9</f>
        <v>0</v>
      </c>
      <c r="H9" s="234"/>
      <c r="I9" s="294"/>
    </row>
    <row r="10" spans="1:9" ht="19.5" customHeight="1" x14ac:dyDescent="0.3">
      <c r="A10" s="1364"/>
      <c r="B10" s="1309"/>
      <c r="C10" s="320" t="s">
        <v>151</v>
      </c>
      <c r="D10" s="231"/>
      <c r="E10" s="231"/>
      <c r="F10" s="231"/>
      <c r="G10" s="243">
        <f t="shared" si="0"/>
        <v>0</v>
      </c>
      <c r="H10" s="234"/>
      <c r="I10" s="294"/>
    </row>
    <row r="11" spans="1:9" ht="19.5" customHeight="1" x14ac:dyDescent="0.3">
      <c r="A11" s="1364"/>
      <c r="B11" s="1309"/>
      <c r="C11" s="320" t="s">
        <v>152</v>
      </c>
      <c r="D11" s="231"/>
      <c r="E11" s="231"/>
      <c r="F11" s="231"/>
      <c r="G11" s="243">
        <f t="shared" si="0"/>
        <v>0</v>
      </c>
      <c r="H11" s="234"/>
      <c r="I11" s="294"/>
    </row>
    <row r="12" spans="1:9" ht="19.5" customHeight="1" x14ac:dyDescent="0.3">
      <c r="A12" s="1364"/>
      <c r="B12" s="1288"/>
      <c r="C12" s="320" t="s">
        <v>153</v>
      </c>
      <c r="D12" s="231"/>
      <c r="E12" s="231"/>
      <c r="F12" s="231"/>
      <c r="G12" s="243">
        <f t="shared" si="0"/>
        <v>0</v>
      </c>
      <c r="H12" s="234"/>
      <c r="I12" s="294"/>
    </row>
    <row r="13" spans="1:9" ht="18" thickBot="1" x14ac:dyDescent="0.35">
      <c r="A13" s="1365"/>
      <c r="B13" s="1374" t="s">
        <v>13</v>
      </c>
      <c r="C13" s="1374"/>
      <c r="D13" s="232">
        <f>SUM(D8:D12)</f>
        <v>0</v>
      </c>
      <c r="E13" s="232">
        <f t="shared" ref="E13:F13" si="1">SUM(E8:E12)</f>
        <v>0</v>
      </c>
      <c r="F13" s="232">
        <f t="shared" si="1"/>
        <v>0</v>
      </c>
      <c r="G13" s="244">
        <f t="shared" si="0"/>
        <v>0</v>
      </c>
      <c r="H13" s="235"/>
      <c r="I13" s="295"/>
    </row>
    <row r="14" spans="1:9" ht="30" customHeight="1" x14ac:dyDescent="0.3">
      <c r="A14" s="1401" t="s">
        <v>3</v>
      </c>
      <c r="B14" s="1309" t="s">
        <v>3</v>
      </c>
      <c r="C14" s="319" t="s">
        <v>142</v>
      </c>
      <c r="D14" s="236"/>
      <c r="E14" s="236"/>
      <c r="F14" s="236"/>
      <c r="G14" s="243">
        <f t="shared" si="0"/>
        <v>0</v>
      </c>
      <c r="H14" s="237"/>
      <c r="I14" s="296"/>
    </row>
    <row r="15" spans="1:9" ht="28.5" customHeight="1" x14ac:dyDescent="0.3">
      <c r="A15" s="1401"/>
      <c r="B15" s="1309"/>
      <c r="C15" s="320" t="s">
        <v>143</v>
      </c>
      <c r="D15" s="231"/>
      <c r="E15" s="231"/>
      <c r="F15" s="231"/>
      <c r="G15" s="243">
        <f t="shared" si="0"/>
        <v>0</v>
      </c>
      <c r="H15" s="234"/>
      <c r="I15" s="297"/>
    </row>
    <row r="16" spans="1:9" ht="17.25" customHeight="1" x14ac:dyDescent="0.3">
      <c r="A16" s="1401"/>
      <c r="B16" s="1309"/>
      <c r="C16" s="320" t="s">
        <v>144</v>
      </c>
      <c r="D16" s="231"/>
      <c r="E16" s="231"/>
      <c r="F16" s="231"/>
      <c r="G16" s="243">
        <f t="shared" si="0"/>
        <v>0</v>
      </c>
      <c r="H16" s="234"/>
      <c r="I16" s="297"/>
    </row>
    <row r="17" spans="1:9" ht="17.25" customHeight="1" x14ac:dyDescent="0.3">
      <c r="A17" s="1401"/>
      <c r="B17" s="1309"/>
      <c r="C17" s="320" t="s">
        <v>145</v>
      </c>
      <c r="D17" s="231"/>
      <c r="E17" s="231"/>
      <c r="F17" s="231"/>
      <c r="G17" s="243">
        <f t="shared" si="0"/>
        <v>0</v>
      </c>
      <c r="H17" s="234"/>
      <c r="I17" s="297"/>
    </row>
    <row r="18" spans="1:9" ht="17.25" customHeight="1" x14ac:dyDescent="0.3">
      <c r="A18" s="1401"/>
      <c r="B18" s="1309"/>
      <c r="C18" s="319" t="s">
        <v>146</v>
      </c>
      <c r="D18" s="231"/>
      <c r="E18" s="231"/>
      <c r="F18" s="231"/>
      <c r="G18" s="243">
        <f t="shared" si="0"/>
        <v>0</v>
      </c>
      <c r="H18" s="234"/>
      <c r="I18" s="294"/>
    </row>
    <row r="19" spans="1:9" ht="17.25" customHeight="1" x14ac:dyDescent="0.3">
      <c r="A19" s="1401"/>
      <c r="B19" s="1309"/>
      <c r="C19" s="146" t="s">
        <v>148</v>
      </c>
      <c r="D19" s="231"/>
      <c r="E19" s="231"/>
      <c r="F19" s="231"/>
      <c r="G19" s="243">
        <f t="shared" si="0"/>
        <v>0</v>
      </c>
      <c r="H19" s="234"/>
      <c r="I19" s="294"/>
    </row>
    <row r="20" spans="1:9" ht="17.25" customHeight="1" x14ac:dyDescent="0.3">
      <c r="A20" s="1401"/>
      <c r="B20" s="1309"/>
      <c r="C20" s="146" t="s">
        <v>149</v>
      </c>
      <c r="D20" s="231"/>
      <c r="E20" s="231"/>
      <c r="F20" s="231"/>
      <c r="G20" s="243">
        <f t="shared" si="0"/>
        <v>0</v>
      </c>
      <c r="H20" s="234"/>
      <c r="I20" s="294"/>
    </row>
    <row r="21" spans="1:9" ht="17.25" customHeight="1" x14ac:dyDescent="0.3">
      <c r="A21" s="1401"/>
      <c r="B21" s="1288"/>
      <c r="C21" s="146" t="s">
        <v>167</v>
      </c>
      <c r="D21" s="65">
        <v>133740000</v>
      </c>
      <c r="E21" s="922">
        <v>111820000</v>
      </c>
      <c r="F21" s="35">
        <v>122150000</v>
      </c>
      <c r="G21" s="35">
        <f>F21-D21</f>
        <v>-11590000</v>
      </c>
      <c r="H21" s="130">
        <f>G21/D21*100%</f>
        <v>-8.6660684911021385E-2</v>
      </c>
      <c r="I21" s="37"/>
    </row>
    <row r="22" spans="1:9" ht="17.25" thickBot="1" x14ac:dyDescent="0.35">
      <c r="A22" s="1460"/>
      <c r="B22" s="1403" t="s">
        <v>13</v>
      </c>
      <c r="C22" s="1404"/>
      <c r="D22" s="520">
        <f>SUM(D14:D21)</f>
        <v>133740000</v>
      </c>
      <c r="E22" s="520">
        <f t="shared" ref="E22:F22" si="2">SUM(E14:E21)</f>
        <v>111820000</v>
      </c>
      <c r="F22" s="520">
        <f t="shared" si="2"/>
        <v>122150000</v>
      </c>
      <c r="G22" s="910">
        <f t="shared" ref="G22:G48" si="3">F22-D22</f>
        <v>-11590000</v>
      </c>
      <c r="H22" s="656">
        <f>G22/D22*100%</f>
        <v>-8.6660684911021385E-2</v>
      </c>
      <c r="I22" s="41"/>
    </row>
    <row r="23" spans="1:9" ht="15.75" customHeight="1" x14ac:dyDescent="0.3">
      <c r="A23" s="1371" t="s">
        <v>159</v>
      </c>
      <c r="B23" s="1308" t="s">
        <v>159</v>
      </c>
      <c r="C23" s="147" t="s">
        <v>113</v>
      </c>
      <c r="D23" s="70"/>
      <c r="E23" s="70"/>
      <c r="F23" s="71"/>
      <c r="G23" s="160">
        <f t="shared" si="3"/>
        <v>0</v>
      </c>
      <c r="H23" s="163"/>
      <c r="I23" s="79"/>
    </row>
    <row r="24" spans="1:9" ht="15.75" customHeight="1" x14ac:dyDescent="0.3">
      <c r="A24" s="1372"/>
      <c r="B24" s="1309"/>
      <c r="C24" s="320" t="s">
        <v>63</v>
      </c>
      <c r="D24" s="44"/>
      <c r="E24" s="44"/>
      <c r="F24" s="66"/>
      <c r="G24" s="161">
        <f t="shared" si="3"/>
        <v>0</v>
      </c>
      <c r="H24" s="164"/>
      <c r="I24" s="80"/>
    </row>
    <row r="25" spans="1:9" ht="15.75" customHeight="1" x14ac:dyDescent="0.3">
      <c r="A25" s="1372"/>
      <c r="B25" s="1309"/>
      <c r="C25" s="320" t="s">
        <v>30</v>
      </c>
      <c r="D25" s="44"/>
      <c r="E25" s="44"/>
      <c r="F25" s="66"/>
      <c r="G25" s="161">
        <f t="shared" si="3"/>
        <v>0</v>
      </c>
      <c r="H25" s="164"/>
      <c r="I25" s="80"/>
    </row>
    <row r="26" spans="1:9" ht="15.75" customHeight="1" x14ac:dyDescent="0.3">
      <c r="A26" s="1372"/>
      <c r="B26" s="1288"/>
      <c r="C26" s="320" t="s">
        <v>64</v>
      </c>
      <c r="D26" s="44"/>
      <c r="E26" s="44"/>
      <c r="F26" s="66"/>
      <c r="G26" s="161">
        <f t="shared" si="3"/>
        <v>0</v>
      </c>
      <c r="H26" s="164"/>
      <c r="I26" s="80"/>
    </row>
    <row r="27" spans="1:9" ht="17.25" thickBot="1" x14ac:dyDescent="0.35">
      <c r="A27" s="1373"/>
      <c r="B27" s="1368" t="s">
        <v>13</v>
      </c>
      <c r="C27" s="1394"/>
      <c r="D27" s="73">
        <f>SUM(D23:D26)</f>
        <v>0</v>
      </c>
      <c r="E27" s="73">
        <f t="shared" ref="E27:F27" si="4">SUM(E23:E26)</f>
        <v>0</v>
      </c>
      <c r="F27" s="73">
        <f t="shared" si="4"/>
        <v>0</v>
      </c>
      <c r="G27" s="162">
        <f t="shared" si="3"/>
        <v>0</v>
      </c>
      <c r="H27" s="165"/>
      <c r="I27" s="81"/>
    </row>
    <row r="28" spans="1:9" ht="18.75" customHeight="1" x14ac:dyDescent="0.3">
      <c r="A28" s="1325" t="s">
        <v>161</v>
      </c>
      <c r="B28" s="1288" t="s">
        <v>161</v>
      </c>
      <c r="C28" s="151" t="s">
        <v>6</v>
      </c>
      <c r="D28" s="69"/>
      <c r="E28" s="69"/>
      <c r="F28" s="69"/>
      <c r="G28" s="36">
        <f t="shared" si="3"/>
        <v>0</v>
      </c>
      <c r="H28" s="130"/>
      <c r="I28" s="82"/>
    </row>
    <row r="29" spans="1:9" ht="18.75" customHeight="1" x14ac:dyDescent="0.3">
      <c r="A29" s="1326"/>
      <c r="B29" s="1289"/>
      <c r="C29" s="151" t="s">
        <v>7</v>
      </c>
      <c r="D29" s="65"/>
      <c r="E29" s="65"/>
      <c r="F29" s="36"/>
      <c r="G29" s="36">
        <f t="shared" si="3"/>
        <v>0</v>
      </c>
      <c r="H29" s="130"/>
      <c r="I29" s="37"/>
    </row>
    <row r="30" spans="1:9" ht="17.25" thickBot="1" x14ac:dyDescent="0.35">
      <c r="A30" s="1327"/>
      <c r="B30" s="1374" t="s">
        <v>13</v>
      </c>
      <c r="C30" s="1374"/>
      <c r="D30" s="67">
        <f>SUM(D28:D29)</f>
        <v>0</v>
      </c>
      <c r="E30" s="67">
        <f t="shared" ref="E30:F30" si="5">SUM(E28:E29)</f>
        <v>0</v>
      </c>
      <c r="F30" s="292">
        <f t="shared" si="5"/>
        <v>0</v>
      </c>
      <c r="G30" s="292">
        <f t="shared" si="3"/>
        <v>0</v>
      </c>
      <c r="H30" s="238"/>
      <c r="I30" s="42"/>
    </row>
    <row r="31" spans="1:9" ht="21.75" customHeight="1" x14ac:dyDescent="0.3">
      <c r="A31" s="1370" t="s">
        <v>163</v>
      </c>
      <c r="B31" s="1308" t="s">
        <v>163</v>
      </c>
      <c r="C31" s="147" t="s">
        <v>154</v>
      </c>
      <c r="D31" s="71"/>
      <c r="E31" s="71"/>
      <c r="F31" s="69"/>
      <c r="G31" s="69">
        <f t="shared" si="3"/>
        <v>0</v>
      </c>
      <c r="H31" s="222"/>
      <c r="I31" s="79"/>
    </row>
    <row r="32" spans="1:9" ht="21.75" customHeight="1" x14ac:dyDescent="0.3">
      <c r="A32" s="1364"/>
      <c r="B32" s="1288"/>
      <c r="C32" s="320" t="s">
        <v>155</v>
      </c>
      <c r="D32" s="66"/>
      <c r="E32" s="66"/>
      <c r="F32" s="66"/>
      <c r="G32" s="66">
        <f t="shared" si="3"/>
        <v>0</v>
      </c>
      <c r="H32" s="218"/>
      <c r="I32" s="83"/>
    </row>
    <row r="33" spans="1:9" ht="17.25" thickBot="1" x14ac:dyDescent="0.35">
      <c r="A33" s="1365"/>
      <c r="B33" s="321"/>
      <c r="C33" s="321" t="s">
        <v>13</v>
      </c>
      <c r="D33" s="73">
        <f>SUM(D31:D32)</f>
        <v>0</v>
      </c>
      <c r="E33" s="73">
        <f t="shared" ref="E33:F33" si="6">SUM(E31:E32)</f>
        <v>0</v>
      </c>
      <c r="F33" s="73">
        <f t="shared" si="6"/>
        <v>0</v>
      </c>
      <c r="G33" s="40">
        <f t="shared" si="3"/>
        <v>0</v>
      </c>
      <c r="H33" s="233"/>
      <c r="I33" s="81"/>
    </row>
    <row r="34" spans="1:9" ht="23.25" customHeight="1" x14ac:dyDescent="0.3">
      <c r="A34" s="326"/>
      <c r="B34" s="1309" t="s">
        <v>4</v>
      </c>
      <c r="C34" s="319" t="s">
        <v>183</v>
      </c>
      <c r="D34" s="69"/>
      <c r="E34" s="69"/>
      <c r="F34" s="69"/>
      <c r="G34" s="450">
        <f t="shared" si="3"/>
        <v>0</v>
      </c>
      <c r="H34" s="651"/>
      <c r="I34" s="240"/>
    </row>
    <row r="35" spans="1:9" ht="23.25" customHeight="1" x14ac:dyDescent="0.3">
      <c r="A35" s="1303" t="s">
        <v>4</v>
      </c>
      <c r="B35" s="1288"/>
      <c r="C35" s="146" t="s">
        <v>184</v>
      </c>
      <c r="D35" s="66"/>
      <c r="E35" s="66"/>
      <c r="F35" s="44"/>
      <c r="G35" s="69">
        <f t="shared" si="3"/>
        <v>0</v>
      </c>
      <c r="H35" s="222"/>
      <c r="I35" s="83"/>
    </row>
    <row r="36" spans="1:9" ht="17.25" thickBot="1" x14ac:dyDescent="0.35">
      <c r="A36" s="1304"/>
      <c r="B36" s="1399" t="s">
        <v>13</v>
      </c>
      <c r="C36" s="1400"/>
      <c r="D36" s="241">
        <f>SUM(D34:D35)</f>
        <v>0</v>
      </c>
      <c r="E36" s="241">
        <f t="shared" ref="E36:F36" si="7">SUM(E34:E35)</f>
        <v>0</v>
      </c>
      <c r="F36" s="241">
        <f t="shared" si="7"/>
        <v>0</v>
      </c>
      <c r="G36" s="158">
        <f t="shared" si="3"/>
        <v>0</v>
      </c>
      <c r="H36" s="166"/>
      <c r="I36" s="42"/>
    </row>
    <row r="37" spans="1:9" ht="24.75" customHeight="1" x14ac:dyDescent="0.3">
      <c r="A37" s="1302" t="s">
        <v>170</v>
      </c>
      <c r="B37" s="1308" t="s">
        <v>170</v>
      </c>
      <c r="C37" s="149" t="s">
        <v>9</v>
      </c>
      <c r="D37" s="68">
        <v>27068844</v>
      </c>
      <c r="E37" s="915">
        <v>27068844</v>
      </c>
      <c r="F37" s="43">
        <v>27068844</v>
      </c>
      <c r="G37" s="36">
        <f t="shared" si="3"/>
        <v>0</v>
      </c>
      <c r="H37" s="130">
        <f>G37/D37*100%</f>
        <v>0</v>
      </c>
      <c r="I37" s="74"/>
    </row>
    <row r="38" spans="1:9" ht="24.75" customHeight="1" x14ac:dyDescent="0.3">
      <c r="A38" s="1303"/>
      <c r="B38" s="1288"/>
      <c r="C38" s="624" t="s">
        <v>174</v>
      </c>
      <c r="D38" s="75"/>
      <c r="E38" s="75"/>
      <c r="F38" s="133"/>
      <c r="G38" s="36"/>
      <c r="H38" s="134"/>
      <c r="I38" s="239"/>
    </row>
    <row r="39" spans="1:9" ht="17.25" thickBot="1" x14ac:dyDescent="0.35">
      <c r="A39" s="1304"/>
      <c r="B39" s="1312" t="s">
        <v>13</v>
      </c>
      <c r="C39" s="1313"/>
      <c r="D39" s="73">
        <f>SUM(D37:D38)</f>
        <v>27068844</v>
      </c>
      <c r="E39" s="73">
        <f t="shared" ref="E39:F39" si="8">SUM(E37:E38)</f>
        <v>27068844</v>
      </c>
      <c r="F39" s="73">
        <f t="shared" si="8"/>
        <v>27068844</v>
      </c>
      <c r="G39" s="40">
        <f t="shared" si="3"/>
        <v>0</v>
      </c>
      <c r="H39" s="462">
        <f>G39/D39*100%</f>
        <v>0</v>
      </c>
      <c r="I39" s="81"/>
    </row>
    <row r="40" spans="1:9" ht="15.75" customHeight="1" x14ac:dyDescent="0.3">
      <c r="A40" s="1456" t="s">
        <v>172</v>
      </c>
      <c r="B40" s="1323" t="s">
        <v>172</v>
      </c>
      <c r="C40" s="617" t="s">
        <v>347</v>
      </c>
      <c r="D40" s="71"/>
      <c r="E40" s="71"/>
      <c r="F40" s="70"/>
      <c r="G40" s="155">
        <f t="shared" si="3"/>
        <v>0</v>
      </c>
      <c r="H40" s="455"/>
      <c r="I40" s="79"/>
    </row>
    <row r="41" spans="1:9" ht="15.75" customHeight="1" x14ac:dyDescent="0.3">
      <c r="A41" s="1457"/>
      <c r="B41" s="1289"/>
      <c r="C41" s="619" t="s">
        <v>173</v>
      </c>
      <c r="D41" s="884">
        <v>19156</v>
      </c>
      <c r="E41" s="916">
        <v>15586</v>
      </c>
      <c r="F41" s="44">
        <v>29156</v>
      </c>
      <c r="G41" s="35">
        <f t="shared" si="3"/>
        <v>10000</v>
      </c>
      <c r="H41" s="218">
        <f t="shared" ref="H41:H44" si="9">G41/D41*100%</f>
        <v>0.52202965128419299</v>
      </c>
      <c r="I41" s="83"/>
    </row>
    <row r="42" spans="1:9" ht="15.75" customHeight="1" x14ac:dyDescent="0.3">
      <c r="A42" s="1457"/>
      <c r="B42" s="1289"/>
      <c r="C42" s="619" t="s">
        <v>175</v>
      </c>
      <c r="D42" s="66"/>
      <c r="E42" s="66"/>
      <c r="F42" s="44"/>
      <c r="G42" s="35"/>
      <c r="H42" s="218"/>
      <c r="I42" s="83"/>
    </row>
    <row r="43" spans="1:9" ht="15.75" customHeight="1" x14ac:dyDescent="0.3">
      <c r="A43" s="1457"/>
      <c r="B43" s="1289"/>
      <c r="C43" s="619" t="s">
        <v>10</v>
      </c>
      <c r="D43" s="66"/>
      <c r="E43" s="66"/>
      <c r="F43" s="44"/>
      <c r="G43" s="35"/>
      <c r="H43" s="218"/>
      <c r="I43" s="83"/>
    </row>
    <row r="44" spans="1:9" ht="17.25" thickBot="1" x14ac:dyDescent="0.35">
      <c r="A44" s="1458"/>
      <c r="B44" s="1374" t="s">
        <v>13</v>
      </c>
      <c r="C44" s="1374"/>
      <c r="D44" s="519">
        <f>SUM(D40:D43)</f>
        <v>19156</v>
      </c>
      <c r="E44" s="519">
        <f t="shared" ref="E44:F44" si="10">SUM(E40:E43)</f>
        <v>15586</v>
      </c>
      <c r="F44" s="519">
        <f t="shared" si="10"/>
        <v>29156</v>
      </c>
      <c r="G44" s="605">
        <f t="shared" si="3"/>
        <v>10000</v>
      </c>
      <c r="H44" s="653">
        <f t="shared" si="9"/>
        <v>0.52202965128419299</v>
      </c>
      <c r="I44" s="81"/>
    </row>
    <row r="45" spans="1:9" ht="24" customHeight="1" x14ac:dyDescent="0.3">
      <c r="A45" s="1325" t="s">
        <v>176</v>
      </c>
      <c r="B45" s="1323" t="s">
        <v>177</v>
      </c>
      <c r="C45" s="617" t="s">
        <v>178</v>
      </c>
      <c r="D45" s="71"/>
      <c r="E45" s="71"/>
      <c r="F45" s="70"/>
      <c r="G45" s="155"/>
      <c r="H45" s="455"/>
      <c r="I45" s="79"/>
    </row>
    <row r="46" spans="1:9" ht="24" customHeight="1" thickBot="1" x14ac:dyDescent="0.35">
      <c r="A46" s="1326"/>
      <c r="B46" s="1324"/>
      <c r="C46" s="621" t="s">
        <v>179</v>
      </c>
      <c r="D46" s="73"/>
      <c r="E46" s="73"/>
      <c r="F46" s="72"/>
      <c r="G46" s="40"/>
      <c r="H46" s="462"/>
      <c r="I46" s="81"/>
    </row>
    <row r="47" spans="1:9" ht="17.25" thickBot="1" x14ac:dyDescent="0.35">
      <c r="A47" s="1459"/>
      <c r="B47" s="1484" t="s">
        <v>13</v>
      </c>
      <c r="C47" s="1484"/>
      <c r="D47" s="457">
        <f>SUM(D45:D46)</f>
        <v>0</v>
      </c>
      <c r="E47" s="457">
        <f t="shared" ref="E47:F47" si="11">SUM(E45:E46)</f>
        <v>0</v>
      </c>
      <c r="F47" s="457">
        <f t="shared" si="11"/>
        <v>0</v>
      </c>
      <c r="G47" s="133">
        <f t="shared" si="3"/>
        <v>0</v>
      </c>
      <c r="H47" s="222"/>
      <c r="I47" s="138"/>
    </row>
    <row r="48" spans="1:9" s="649" customFormat="1" ht="17.25" thickBot="1" x14ac:dyDescent="0.35">
      <c r="A48" s="1391" t="s">
        <v>41</v>
      </c>
      <c r="B48" s="1392"/>
      <c r="C48" s="1393"/>
      <c r="D48" s="302">
        <f>SUM(D22,D27,D30,D36,D39,D44,D47)</f>
        <v>160828000</v>
      </c>
      <c r="E48" s="302">
        <f t="shared" ref="E48:F48" si="12">SUM(E22,E27,E30,E36,E39,E44,E47)</f>
        <v>138904430</v>
      </c>
      <c r="F48" s="302">
        <f t="shared" si="12"/>
        <v>149248000</v>
      </c>
      <c r="G48" s="606">
        <f t="shared" si="3"/>
        <v>-11580000</v>
      </c>
      <c r="H48" s="523">
        <f>G48/D48*100%</f>
        <v>-7.2002387643942595E-2</v>
      </c>
      <c r="I48" s="78"/>
    </row>
    <row r="49" spans="1:9" ht="17.25" thickBot="1" x14ac:dyDescent="0.35">
      <c r="A49" s="1475" t="s">
        <v>66</v>
      </c>
      <c r="B49" s="1340"/>
      <c r="C49" s="1340"/>
      <c r="D49" s="1340"/>
      <c r="E49" s="1340"/>
      <c r="F49" s="1340"/>
      <c r="G49" s="1340"/>
      <c r="H49" s="1340"/>
      <c r="I49" s="1476"/>
    </row>
    <row r="50" spans="1:9" ht="17.45" customHeight="1" x14ac:dyDescent="0.3">
      <c r="A50" s="1314" t="s">
        <v>29</v>
      </c>
      <c r="B50" s="1315"/>
      <c r="C50" s="1315"/>
      <c r="D50" s="1273" t="s">
        <v>237</v>
      </c>
      <c r="E50" s="1273" t="s">
        <v>395</v>
      </c>
      <c r="F50" s="1273" t="s">
        <v>236</v>
      </c>
      <c r="G50" s="1273" t="s">
        <v>59</v>
      </c>
      <c r="H50" s="1275" t="s">
        <v>49</v>
      </c>
      <c r="I50" s="1277" t="s">
        <v>61</v>
      </c>
    </row>
    <row r="51" spans="1:9" ht="18" customHeight="1" thickBot="1" x14ac:dyDescent="0.35">
      <c r="A51" s="84" t="s">
        <v>0</v>
      </c>
      <c r="B51" s="136" t="s">
        <v>1</v>
      </c>
      <c r="C51" s="136" t="s">
        <v>2</v>
      </c>
      <c r="D51" s="1274"/>
      <c r="E51" s="1274"/>
      <c r="F51" s="1274"/>
      <c r="G51" s="1274"/>
      <c r="H51" s="1276"/>
      <c r="I51" s="1278"/>
    </row>
    <row r="52" spans="1:9" x14ac:dyDescent="0.3">
      <c r="A52" s="159" t="s">
        <v>185</v>
      </c>
      <c r="B52" s="1323" t="s">
        <v>186</v>
      </c>
      <c r="C52" s="536" t="s">
        <v>17</v>
      </c>
      <c r="D52" s="35">
        <v>93618000</v>
      </c>
      <c r="E52" s="917">
        <v>79296875</v>
      </c>
      <c r="F52" s="35">
        <v>85505000</v>
      </c>
      <c r="G52" s="43">
        <f>F52-D52</f>
        <v>-8113000</v>
      </c>
      <c r="H52" s="453">
        <f>G52/D52*100%</f>
        <v>-8.6660684911021385E-2</v>
      </c>
      <c r="I52" s="544"/>
    </row>
    <row r="53" spans="1:9" x14ac:dyDescent="0.3">
      <c r="A53" s="64"/>
      <c r="B53" s="1289"/>
      <c r="C53" s="150" t="s">
        <v>32</v>
      </c>
      <c r="D53" s="35">
        <v>1271000</v>
      </c>
      <c r="E53" s="917"/>
      <c r="F53" s="35">
        <v>1160500</v>
      </c>
      <c r="G53" s="35">
        <f t="shared" ref="G53:G56" si="13">F53-D53</f>
        <v>-110500</v>
      </c>
      <c r="H53" s="130">
        <f t="shared" ref="H53:H112" si="14">G53/D53*100%</f>
        <v>-8.6939417781274592E-2</v>
      </c>
      <c r="I53" s="37"/>
    </row>
    <row r="54" spans="1:9" x14ac:dyDescent="0.3">
      <c r="A54" s="64"/>
      <c r="B54" s="1289"/>
      <c r="C54" s="150" t="s">
        <v>180</v>
      </c>
      <c r="D54" s="36"/>
      <c r="E54" s="918"/>
      <c r="F54" s="35"/>
      <c r="G54" s="35"/>
      <c r="H54" s="130"/>
      <c r="I54" s="37"/>
    </row>
    <row r="55" spans="1:9" ht="18" customHeight="1" x14ac:dyDescent="0.3">
      <c r="A55" s="64"/>
      <c r="B55" s="1289"/>
      <c r="C55" s="150" t="s">
        <v>84</v>
      </c>
      <c r="D55" s="35">
        <v>7810000</v>
      </c>
      <c r="E55" s="917">
        <v>6608280</v>
      </c>
      <c r="F55" s="35">
        <v>7230000</v>
      </c>
      <c r="G55" s="35">
        <f t="shared" si="13"/>
        <v>-580000</v>
      </c>
      <c r="H55" s="130">
        <f t="shared" si="14"/>
        <v>-7.4263764404609481E-2</v>
      </c>
      <c r="I55" s="37"/>
    </row>
    <row r="56" spans="1:9" ht="18" customHeight="1" x14ac:dyDescent="0.3">
      <c r="A56" s="64"/>
      <c r="B56" s="1289"/>
      <c r="C56" s="150" t="s">
        <v>33</v>
      </c>
      <c r="D56" s="35">
        <v>11980000</v>
      </c>
      <c r="E56" s="917">
        <v>10442280</v>
      </c>
      <c r="F56" s="35">
        <v>11820000</v>
      </c>
      <c r="G56" s="35">
        <f t="shared" si="13"/>
        <v>-160000</v>
      </c>
      <c r="H56" s="130">
        <f t="shared" si="14"/>
        <v>-1.335559265442404E-2</v>
      </c>
      <c r="I56" s="37"/>
    </row>
    <row r="57" spans="1:9" ht="18" customHeight="1" x14ac:dyDescent="0.3">
      <c r="A57" s="64"/>
      <c r="B57" s="1289"/>
      <c r="C57" s="150" t="s">
        <v>18</v>
      </c>
      <c r="D57" s="35"/>
      <c r="E57" s="917"/>
      <c r="F57" s="35"/>
      <c r="G57" s="35"/>
      <c r="H57" s="130"/>
      <c r="I57" s="37"/>
    </row>
    <row r="58" spans="1:9" ht="17.25" thickBot="1" x14ac:dyDescent="0.35">
      <c r="A58" s="64"/>
      <c r="B58" s="1324"/>
      <c r="C58" s="538" t="s">
        <v>305</v>
      </c>
      <c r="D58" s="539">
        <f>SUM(D52:D57)</f>
        <v>114679000</v>
      </c>
      <c r="E58" s="539">
        <f t="shared" ref="E58:F58" si="15">SUM(E52:E57)</f>
        <v>96347435</v>
      </c>
      <c r="F58" s="539">
        <f t="shared" si="15"/>
        <v>105715500</v>
      </c>
      <c r="G58" s="605">
        <f t="shared" ref="G58:G112" si="16">F58-D58</f>
        <v>-8963500</v>
      </c>
      <c r="H58" s="540">
        <f t="shared" si="14"/>
        <v>-7.816165121774693E-2</v>
      </c>
      <c r="I58" s="41"/>
    </row>
    <row r="59" spans="1:9" ht="21.75" customHeight="1" x14ac:dyDescent="0.3">
      <c r="A59" s="64"/>
      <c r="B59" s="1323" t="s">
        <v>90</v>
      </c>
      <c r="C59" s="149" t="s">
        <v>19</v>
      </c>
      <c r="D59" s="541"/>
      <c r="E59" s="43"/>
      <c r="F59" s="43"/>
      <c r="G59" s="155">
        <f t="shared" si="16"/>
        <v>0</v>
      </c>
      <c r="H59" s="453"/>
      <c r="I59" s="544"/>
    </row>
    <row r="60" spans="1:9" ht="21.75" customHeight="1" x14ac:dyDescent="0.3">
      <c r="A60" s="64"/>
      <c r="B60" s="1289"/>
      <c r="C60" s="219" t="s">
        <v>182</v>
      </c>
      <c r="D60" s="35"/>
      <c r="E60" s="35"/>
      <c r="F60" s="35"/>
      <c r="G60" s="36">
        <f t="shared" si="16"/>
        <v>0</v>
      </c>
      <c r="H60" s="130"/>
      <c r="I60" s="37"/>
    </row>
    <row r="61" spans="1:9" x14ac:dyDescent="0.3">
      <c r="A61" s="64"/>
      <c r="B61" s="1289"/>
      <c r="C61" s="150" t="s">
        <v>20</v>
      </c>
      <c r="D61" s="35"/>
      <c r="E61" s="35"/>
      <c r="F61" s="35"/>
      <c r="G61" s="36">
        <f t="shared" si="16"/>
        <v>0</v>
      </c>
      <c r="H61" s="130"/>
      <c r="I61" s="37"/>
    </row>
    <row r="62" spans="1:9" ht="17.25" thickBot="1" x14ac:dyDescent="0.35">
      <c r="A62" s="64"/>
      <c r="B62" s="1324"/>
      <c r="C62" s="538" t="s">
        <v>306</v>
      </c>
      <c r="D62" s="67">
        <f>SUM(D59:D61)</f>
        <v>0</v>
      </c>
      <c r="E62" s="67">
        <f t="shared" ref="E62:F62" si="17">SUM(E59:E61)</f>
        <v>0</v>
      </c>
      <c r="F62" s="67">
        <f t="shared" si="17"/>
        <v>0</v>
      </c>
      <c r="G62" s="40">
        <f t="shared" si="16"/>
        <v>0</v>
      </c>
      <c r="H62" s="233"/>
      <c r="I62" s="41"/>
    </row>
    <row r="63" spans="1:9" x14ac:dyDescent="0.3">
      <c r="A63" s="64"/>
      <c r="B63" s="1323" t="s">
        <v>131</v>
      </c>
      <c r="C63" s="536" t="s">
        <v>21</v>
      </c>
      <c r="D63" s="155"/>
      <c r="E63" s="543"/>
      <c r="F63" s="43"/>
      <c r="G63" s="155">
        <f t="shared" si="16"/>
        <v>0</v>
      </c>
      <c r="H63" s="453"/>
      <c r="I63" s="544"/>
    </row>
    <row r="64" spans="1:9" ht="14.25" customHeight="1" x14ac:dyDescent="0.3">
      <c r="A64" s="64"/>
      <c r="B64" s="1289"/>
      <c r="C64" s="150" t="s">
        <v>34</v>
      </c>
      <c r="D64" s="206">
        <v>1248000</v>
      </c>
      <c r="E64" s="920">
        <v>1140370</v>
      </c>
      <c r="F64" s="77">
        <v>1245000</v>
      </c>
      <c r="G64" s="36">
        <f t="shared" si="16"/>
        <v>-3000</v>
      </c>
      <c r="H64" s="130">
        <f t="shared" ref="H64:H66" si="18">G64/D64*100%</f>
        <v>-2.403846153846154E-3</v>
      </c>
      <c r="I64" s="37"/>
    </row>
    <row r="65" spans="1:9" ht="14.25" customHeight="1" x14ac:dyDescent="0.3">
      <c r="A65" s="64"/>
      <c r="B65" s="1289"/>
      <c r="C65" s="150" t="s">
        <v>23</v>
      </c>
      <c r="D65" s="206">
        <v>540000</v>
      </c>
      <c r="E65" s="913">
        <v>473000</v>
      </c>
      <c r="F65" s="77">
        <v>516000</v>
      </c>
      <c r="G65" s="36">
        <f t="shared" si="16"/>
        <v>-24000</v>
      </c>
      <c r="H65" s="130">
        <f t="shared" si="18"/>
        <v>-4.4444444444444446E-2</v>
      </c>
      <c r="I65" s="37"/>
    </row>
    <row r="66" spans="1:9" ht="14.25" customHeight="1" x14ac:dyDescent="0.3">
      <c r="A66" s="64"/>
      <c r="B66" s="1289"/>
      <c r="C66" s="150" t="s">
        <v>24</v>
      </c>
      <c r="D66" s="206">
        <v>1000000</v>
      </c>
      <c r="E66" s="913">
        <v>1090620</v>
      </c>
      <c r="F66" s="77">
        <v>1200000</v>
      </c>
      <c r="G66" s="36">
        <f t="shared" si="16"/>
        <v>200000</v>
      </c>
      <c r="H66" s="130">
        <f t="shared" si="18"/>
        <v>0.2</v>
      </c>
      <c r="I66" s="37"/>
    </row>
    <row r="67" spans="1:9" ht="14.25" customHeight="1" x14ac:dyDescent="0.3">
      <c r="A67" s="99"/>
      <c r="B67" s="1289"/>
      <c r="C67" s="150" t="s">
        <v>35</v>
      </c>
      <c r="D67" s="207"/>
      <c r="E67" s="132"/>
      <c r="F67" s="156"/>
      <c r="G67" s="133">
        <f t="shared" si="16"/>
        <v>0</v>
      </c>
      <c r="H67" s="130"/>
      <c r="I67" s="76"/>
    </row>
    <row r="68" spans="1:9" ht="14.25" customHeight="1" x14ac:dyDescent="0.3">
      <c r="A68" s="99"/>
      <c r="B68" s="1289"/>
      <c r="C68" s="624" t="s">
        <v>86</v>
      </c>
      <c r="D68" s="44"/>
      <c r="E68" s="44"/>
      <c r="F68" s="44"/>
      <c r="G68" s="66">
        <f t="shared" si="16"/>
        <v>0</v>
      </c>
      <c r="H68" s="130"/>
      <c r="I68" s="83"/>
    </row>
    <row r="69" spans="1:9" ht="14.25" customHeight="1" x14ac:dyDescent="0.3">
      <c r="A69" s="99"/>
      <c r="B69" s="1289"/>
      <c r="C69" s="624" t="s">
        <v>36</v>
      </c>
      <c r="D69" s="44"/>
      <c r="E69" s="44"/>
      <c r="F69" s="44"/>
      <c r="G69" s="66">
        <f t="shared" si="16"/>
        <v>0</v>
      </c>
      <c r="H69" s="130"/>
      <c r="I69" s="83"/>
    </row>
    <row r="70" spans="1:9" ht="17.25" thickBot="1" x14ac:dyDescent="0.35">
      <c r="A70" s="99"/>
      <c r="B70" s="1324"/>
      <c r="C70" s="545" t="s">
        <v>307</v>
      </c>
      <c r="D70" s="580">
        <f>SUM(D63:D69)</f>
        <v>2788000</v>
      </c>
      <c r="E70" s="580">
        <f t="shared" ref="E70:F70" si="19">SUM(E63:E69)</f>
        <v>2703990</v>
      </c>
      <c r="F70" s="580">
        <f t="shared" si="19"/>
        <v>2961000</v>
      </c>
      <c r="G70" s="520">
        <f t="shared" si="16"/>
        <v>173000</v>
      </c>
      <c r="H70" s="572">
        <f t="shared" ref="H70" si="20">G70/D70*100%</f>
        <v>6.2051649928263987E-2</v>
      </c>
      <c r="I70" s="42"/>
    </row>
    <row r="71" spans="1:9" ht="17.25" thickBot="1" x14ac:dyDescent="0.35">
      <c r="A71" s="137" t="s">
        <v>123</v>
      </c>
      <c r="B71" s="1321" t="s">
        <v>13</v>
      </c>
      <c r="C71" s="1322"/>
      <c r="D71" s="576">
        <f>SUM(D58,D62,D70)</f>
        <v>117467000</v>
      </c>
      <c r="E71" s="520">
        <f t="shared" ref="E71:F71" si="21">SUM(E58,E62,E70)</f>
        <v>99051425</v>
      </c>
      <c r="F71" s="576">
        <f t="shared" si="21"/>
        <v>108676500</v>
      </c>
      <c r="G71" s="605">
        <f t="shared" si="16"/>
        <v>-8790500</v>
      </c>
      <c r="H71" s="540">
        <f t="shared" si="14"/>
        <v>-7.4833783105042267E-2</v>
      </c>
      <c r="I71" s="41"/>
    </row>
    <row r="72" spans="1:9" ht="18" customHeight="1" x14ac:dyDescent="0.3">
      <c r="A72" s="1325" t="s">
        <v>189</v>
      </c>
      <c r="B72" s="1288" t="s">
        <v>42</v>
      </c>
      <c r="C72" s="151" t="s">
        <v>11</v>
      </c>
      <c r="D72" s="566">
        <v>2000000</v>
      </c>
      <c r="E72" s="924">
        <v>1040000</v>
      </c>
      <c r="F72" s="541">
        <v>1040000</v>
      </c>
      <c r="G72" s="43">
        <f t="shared" si="16"/>
        <v>-960000</v>
      </c>
      <c r="H72" s="925">
        <f t="shared" si="14"/>
        <v>-0.48</v>
      </c>
      <c r="I72" s="37"/>
    </row>
    <row r="73" spans="1:9" ht="18" customHeight="1" x14ac:dyDescent="0.3">
      <c r="A73" s="1325"/>
      <c r="B73" s="1288"/>
      <c r="C73" s="480" t="s">
        <v>339</v>
      </c>
      <c r="D73" s="209"/>
      <c r="E73" s="913"/>
      <c r="F73" s="77"/>
      <c r="G73" s="35"/>
      <c r="H73" s="167"/>
      <c r="I73" s="37"/>
    </row>
    <row r="74" spans="1:9" ht="18" customHeight="1" x14ac:dyDescent="0.3">
      <c r="A74" s="1326"/>
      <c r="B74" s="1289"/>
      <c r="C74" s="146" t="s">
        <v>37</v>
      </c>
      <c r="D74" s="209">
        <v>2000000</v>
      </c>
      <c r="E74" s="44"/>
      <c r="F74" s="77"/>
      <c r="G74" s="35">
        <f t="shared" ref="G74:G75" si="22">F74-D74</f>
        <v>-2000000</v>
      </c>
      <c r="H74" s="927">
        <f t="shared" si="14"/>
        <v>-1</v>
      </c>
      <c r="I74" s="37"/>
    </row>
    <row r="75" spans="1:9" ht="17.25" thickBot="1" x14ac:dyDescent="0.35">
      <c r="A75" s="1327"/>
      <c r="B75" s="1300" t="s">
        <v>13</v>
      </c>
      <c r="C75" s="1301"/>
      <c r="D75" s="569">
        <f>SUM(D72:D74)</f>
        <v>4000000</v>
      </c>
      <c r="E75" s="569">
        <f t="shared" ref="E75:F75" si="23">SUM(E72:E74)</f>
        <v>1040000</v>
      </c>
      <c r="F75" s="569">
        <f t="shared" si="23"/>
        <v>1040000</v>
      </c>
      <c r="G75" s="926">
        <f t="shared" si="22"/>
        <v>-2960000</v>
      </c>
      <c r="H75" s="577">
        <f t="shared" si="14"/>
        <v>-0.74</v>
      </c>
      <c r="I75" s="42"/>
    </row>
    <row r="76" spans="1:9" x14ac:dyDescent="0.3">
      <c r="A76" s="1302" t="s">
        <v>197</v>
      </c>
      <c r="B76" s="1305" t="s">
        <v>131</v>
      </c>
      <c r="C76" s="585" t="s">
        <v>132</v>
      </c>
      <c r="D76" s="70"/>
      <c r="E76" s="70"/>
      <c r="F76" s="70"/>
      <c r="G76" s="71">
        <f t="shared" si="16"/>
        <v>0</v>
      </c>
      <c r="H76" s="453"/>
      <c r="I76" s="79"/>
    </row>
    <row r="77" spans="1:9" x14ac:dyDescent="0.3">
      <c r="A77" s="1303"/>
      <c r="B77" s="1306"/>
      <c r="C77" s="622" t="s">
        <v>133</v>
      </c>
      <c r="D77" s="221"/>
      <c r="E77" s="221"/>
      <c r="F77" s="221"/>
      <c r="G77" s="66">
        <f t="shared" si="16"/>
        <v>0</v>
      </c>
      <c r="H77" s="130"/>
      <c r="I77" s="240"/>
    </row>
    <row r="78" spans="1:9" x14ac:dyDescent="0.3">
      <c r="A78" s="1303"/>
      <c r="B78" s="1306"/>
      <c r="C78" s="622" t="s">
        <v>194</v>
      </c>
      <c r="D78" s="221"/>
      <c r="E78" s="221"/>
      <c r="F78" s="221"/>
      <c r="G78" s="66">
        <f t="shared" si="16"/>
        <v>0</v>
      </c>
      <c r="H78" s="130"/>
      <c r="I78" s="240"/>
    </row>
    <row r="79" spans="1:9" x14ac:dyDescent="0.3">
      <c r="A79" s="1303"/>
      <c r="B79" s="1306"/>
      <c r="C79" s="230" t="s">
        <v>134</v>
      </c>
      <c r="D79" s="44"/>
      <c r="E79" s="44"/>
      <c r="F79" s="44"/>
      <c r="G79" s="66">
        <f t="shared" si="16"/>
        <v>0</v>
      </c>
      <c r="H79" s="130"/>
      <c r="I79" s="83"/>
    </row>
    <row r="80" spans="1:9" x14ac:dyDescent="0.3">
      <c r="A80" s="1303"/>
      <c r="B80" s="1306"/>
      <c r="C80" s="230" t="s">
        <v>195</v>
      </c>
      <c r="D80" s="44"/>
      <c r="E80" s="44"/>
      <c r="F80" s="44"/>
      <c r="G80" s="66">
        <f t="shared" si="16"/>
        <v>0</v>
      </c>
      <c r="H80" s="130"/>
      <c r="I80" s="83"/>
    </row>
    <row r="81" spans="1:9" ht="17.25" thickBot="1" x14ac:dyDescent="0.35">
      <c r="A81" s="1303"/>
      <c r="B81" s="1307"/>
      <c r="C81" s="586" t="s">
        <v>308</v>
      </c>
      <c r="D81" s="73">
        <f>SUM(D76:D80)</f>
        <v>0</v>
      </c>
      <c r="E81" s="73">
        <f t="shared" ref="E81:F81" si="24">SUM(E76:E80)</f>
        <v>0</v>
      </c>
      <c r="F81" s="73">
        <f t="shared" si="24"/>
        <v>0</v>
      </c>
      <c r="G81" s="73">
        <f t="shared" si="16"/>
        <v>0</v>
      </c>
      <c r="H81" s="233"/>
      <c r="I81" s="81"/>
    </row>
    <row r="82" spans="1:9" ht="15" customHeight="1" x14ac:dyDescent="0.3">
      <c r="A82" s="1303"/>
      <c r="B82" s="1308" t="s">
        <v>197</v>
      </c>
      <c r="C82" s="149" t="s">
        <v>164</v>
      </c>
      <c r="D82" s="70"/>
      <c r="E82" s="70"/>
      <c r="F82" s="70"/>
      <c r="G82" s="71">
        <f t="shared" si="16"/>
        <v>0</v>
      </c>
      <c r="H82" s="453"/>
      <c r="I82" s="79"/>
    </row>
    <row r="83" spans="1:9" ht="15" customHeight="1" x14ac:dyDescent="0.3">
      <c r="A83" s="1303"/>
      <c r="B83" s="1309"/>
      <c r="C83" s="624" t="s">
        <v>191</v>
      </c>
      <c r="D83" s="44"/>
      <c r="E83" s="44"/>
      <c r="F83" s="44"/>
      <c r="G83" s="66">
        <f t="shared" si="16"/>
        <v>0</v>
      </c>
      <c r="H83" s="130"/>
      <c r="I83" s="83"/>
    </row>
    <row r="84" spans="1:9" ht="15" customHeight="1" x14ac:dyDescent="0.3">
      <c r="A84" s="1303"/>
      <c r="B84" s="1309"/>
      <c r="C84" s="624" t="s">
        <v>192</v>
      </c>
      <c r="D84" s="44"/>
      <c r="E84" s="44"/>
      <c r="F84" s="44"/>
      <c r="G84" s="66">
        <f t="shared" si="16"/>
        <v>0</v>
      </c>
      <c r="H84" s="130"/>
      <c r="I84" s="83"/>
    </row>
    <row r="85" spans="1:9" ht="15" customHeight="1" x14ac:dyDescent="0.3">
      <c r="A85" s="1303"/>
      <c r="B85" s="1309"/>
      <c r="C85" s="624" t="s">
        <v>140</v>
      </c>
      <c r="D85" s="44"/>
      <c r="E85" s="44"/>
      <c r="F85" s="44"/>
      <c r="G85" s="66">
        <f t="shared" si="16"/>
        <v>0</v>
      </c>
      <c r="H85" s="130"/>
      <c r="I85" s="83"/>
    </row>
    <row r="86" spans="1:9" ht="15" customHeight="1" x14ac:dyDescent="0.3">
      <c r="A86" s="1303"/>
      <c r="B86" s="1309"/>
      <c r="C86" s="624" t="s">
        <v>137</v>
      </c>
      <c r="D86" s="44"/>
      <c r="E86" s="44"/>
      <c r="F86" s="44"/>
      <c r="G86" s="66">
        <f t="shared" si="16"/>
        <v>0</v>
      </c>
      <c r="H86" s="130"/>
      <c r="I86" s="83"/>
    </row>
    <row r="87" spans="1:9" ht="15" customHeight="1" x14ac:dyDescent="0.3">
      <c r="A87" s="1303"/>
      <c r="B87" s="1309"/>
      <c r="C87" s="624" t="s">
        <v>141</v>
      </c>
      <c r="D87" s="44"/>
      <c r="E87" s="44"/>
      <c r="F87" s="44"/>
      <c r="G87" s="66">
        <f t="shared" si="16"/>
        <v>0</v>
      </c>
      <c r="H87" s="130"/>
      <c r="I87" s="83"/>
    </row>
    <row r="88" spans="1:9" ht="15" customHeight="1" x14ac:dyDescent="0.3">
      <c r="A88" s="1303"/>
      <c r="B88" s="1309"/>
      <c r="C88" s="624" t="s">
        <v>138</v>
      </c>
      <c r="D88" s="44"/>
      <c r="E88" s="44"/>
      <c r="F88" s="44"/>
      <c r="G88" s="66">
        <f t="shared" si="16"/>
        <v>0</v>
      </c>
      <c r="H88" s="130"/>
      <c r="I88" s="83"/>
    </row>
    <row r="89" spans="1:9" ht="15" customHeight="1" x14ac:dyDescent="0.3">
      <c r="A89" s="1303"/>
      <c r="B89" s="1309"/>
      <c r="C89" s="624" t="s">
        <v>139</v>
      </c>
      <c r="D89" s="44">
        <v>2710000</v>
      </c>
      <c r="E89" s="913">
        <v>1973030</v>
      </c>
      <c r="F89" s="44">
        <v>1985000</v>
      </c>
      <c r="G89" s="44">
        <f t="shared" si="16"/>
        <v>-725000</v>
      </c>
      <c r="H89" s="218">
        <f t="shared" ref="H89" si="25">G89/D89*100%</f>
        <v>-0.26752767527675275</v>
      </c>
      <c r="I89" s="83"/>
    </row>
    <row r="90" spans="1:9" ht="15" customHeight="1" x14ac:dyDescent="0.3">
      <c r="A90" s="1303"/>
      <c r="B90" s="1309"/>
      <c r="C90" s="624" t="s">
        <v>136</v>
      </c>
      <c r="D90" s="44"/>
      <c r="E90" s="44"/>
      <c r="F90" s="44"/>
      <c r="G90" s="66">
        <f t="shared" si="16"/>
        <v>0</v>
      </c>
      <c r="H90" s="130"/>
      <c r="I90" s="83"/>
    </row>
    <row r="91" spans="1:9" ht="15" customHeight="1" x14ac:dyDescent="0.3">
      <c r="A91" s="1303"/>
      <c r="B91" s="1309"/>
      <c r="C91" s="624" t="s">
        <v>135</v>
      </c>
      <c r="D91" s="44"/>
      <c r="E91" s="44"/>
      <c r="F91" s="44"/>
      <c r="G91" s="66">
        <f t="shared" si="16"/>
        <v>0</v>
      </c>
      <c r="H91" s="130"/>
      <c r="I91" s="83"/>
    </row>
    <row r="92" spans="1:9" ht="15" customHeight="1" x14ac:dyDescent="0.3">
      <c r="A92" s="1303"/>
      <c r="B92" s="1309"/>
      <c r="C92" s="624" t="s">
        <v>193</v>
      </c>
      <c r="D92" s="44"/>
      <c r="E92" s="44"/>
      <c r="F92" s="44"/>
      <c r="G92" s="66">
        <f t="shared" si="16"/>
        <v>0</v>
      </c>
      <c r="H92" s="130"/>
      <c r="I92" s="83"/>
    </row>
    <row r="93" spans="1:9" ht="15" customHeight="1" x14ac:dyDescent="0.3">
      <c r="A93" s="1303"/>
      <c r="B93" s="1309"/>
      <c r="C93" s="624" t="s">
        <v>239</v>
      </c>
      <c r="D93" s="44"/>
      <c r="E93" s="44"/>
      <c r="F93" s="44"/>
      <c r="G93" s="66">
        <f t="shared" si="16"/>
        <v>0</v>
      </c>
      <c r="H93" s="130"/>
      <c r="I93" s="83"/>
    </row>
    <row r="94" spans="1:9" ht="15" customHeight="1" x14ac:dyDescent="0.3">
      <c r="A94" s="1303"/>
      <c r="B94" s="1309"/>
      <c r="C94" s="624" t="s">
        <v>240</v>
      </c>
      <c r="D94" s="44"/>
      <c r="E94" s="44"/>
      <c r="F94" s="44"/>
      <c r="G94" s="66">
        <f t="shared" si="16"/>
        <v>0</v>
      </c>
      <c r="H94" s="130"/>
      <c r="I94" s="83"/>
    </row>
    <row r="95" spans="1:9" ht="15" customHeight="1" x14ac:dyDescent="0.3">
      <c r="A95" s="1303"/>
      <c r="B95" s="1309"/>
      <c r="C95" s="624" t="s">
        <v>241</v>
      </c>
      <c r="D95" s="44"/>
      <c r="E95" s="44"/>
      <c r="F95" s="44"/>
      <c r="G95" s="66">
        <f t="shared" si="16"/>
        <v>0</v>
      </c>
      <c r="H95" s="130"/>
      <c r="I95" s="83"/>
    </row>
    <row r="96" spans="1:9" ht="15" customHeight="1" x14ac:dyDescent="0.3">
      <c r="A96" s="1303"/>
      <c r="B96" s="1309"/>
      <c r="C96" s="624" t="s">
        <v>242</v>
      </c>
      <c r="D96" s="44"/>
      <c r="E96" s="44"/>
      <c r="F96" s="44"/>
      <c r="G96" s="66">
        <f t="shared" si="16"/>
        <v>0</v>
      </c>
      <c r="H96" s="130"/>
      <c r="I96" s="83"/>
    </row>
    <row r="97" spans="1:9" ht="15" customHeight="1" x14ac:dyDescent="0.3">
      <c r="A97" s="1303"/>
      <c r="B97" s="1309"/>
      <c r="C97" s="624" t="s">
        <v>243</v>
      </c>
      <c r="D97" s="44"/>
      <c r="E97" s="44"/>
      <c r="F97" s="44"/>
      <c r="G97" s="66">
        <f t="shared" si="16"/>
        <v>0</v>
      </c>
      <c r="H97" s="130"/>
      <c r="I97" s="83"/>
    </row>
    <row r="98" spans="1:9" ht="14.25" customHeight="1" x14ac:dyDescent="0.3">
      <c r="A98" s="1303"/>
      <c r="B98" s="1309"/>
      <c r="C98" s="624" t="s">
        <v>244</v>
      </c>
      <c r="D98" s="44"/>
      <c r="E98" s="44"/>
      <c r="F98" s="44"/>
      <c r="G98" s="66">
        <f t="shared" si="16"/>
        <v>0</v>
      </c>
      <c r="H98" s="130"/>
      <c r="I98" s="83"/>
    </row>
    <row r="99" spans="1:9" ht="14.25" customHeight="1" x14ac:dyDescent="0.3">
      <c r="A99" s="1303"/>
      <c r="B99" s="1309"/>
      <c r="C99" s="624" t="s">
        <v>245</v>
      </c>
      <c r="D99" s="44"/>
      <c r="E99" s="44"/>
      <c r="F99" s="44"/>
      <c r="G99" s="66">
        <f t="shared" si="16"/>
        <v>0</v>
      </c>
      <c r="H99" s="130"/>
      <c r="I99" s="83"/>
    </row>
    <row r="100" spans="1:9" ht="14.25" customHeight="1" x14ac:dyDescent="0.3">
      <c r="A100" s="1303"/>
      <c r="B100" s="1309"/>
      <c r="C100" s="624" t="s">
        <v>232</v>
      </c>
      <c r="D100" s="44"/>
      <c r="E100" s="44"/>
      <c r="F100" s="44"/>
      <c r="G100" s="66">
        <f t="shared" si="16"/>
        <v>0</v>
      </c>
      <c r="H100" s="130"/>
      <c r="I100" s="83"/>
    </row>
    <row r="101" spans="1:9" ht="14.25" customHeight="1" x14ac:dyDescent="0.3">
      <c r="A101" s="1303"/>
      <c r="B101" s="1309"/>
      <c r="C101" s="624" t="s">
        <v>233</v>
      </c>
      <c r="D101" s="44"/>
      <c r="E101" s="44"/>
      <c r="F101" s="44"/>
      <c r="G101" s="66">
        <f t="shared" si="16"/>
        <v>0</v>
      </c>
      <c r="H101" s="130"/>
      <c r="I101" s="83"/>
    </row>
    <row r="102" spans="1:9" ht="14.25" customHeight="1" x14ac:dyDescent="0.3">
      <c r="A102" s="1303"/>
      <c r="B102" s="1309"/>
      <c r="C102" s="624" t="s">
        <v>234</v>
      </c>
      <c r="D102" s="44"/>
      <c r="E102" s="44"/>
      <c r="F102" s="44"/>
      <c r="G102" s="66">
        <f t="shared" si="16"/>
        <v>0</v>
      </c>
      <c r="H102" s="130"/>
      <c r="I102" s="83"/>
    </row>
    <row r="103" spans="1:9" ht="14.25" customHeight="1" x14ac:dyDescent="0.3">
      <c r="A103" s="1303"/>
      <c r="B103" s="1309"/>
      <c r="C103" s="624" t="s">
        <v>235</v>
      </c>
      <c r="D103" s="44"/>
      <c r="E103" s="44"/>
      <c r="F103" s="44"/>
      <c r="G103" s="66">
        <f t="shared" si="16"/>
        <v>0</v>
      </c>
      <c r="H103" s="130"/>
      <c r="I103" s="83"/>
    </row>
    <row r="104" spans="1:9" ht="14.25" customHeight="1" thickBot="1" x14ac:dyDescent="0.35">
      <c r="A104" s="1303"/>
      <c r="B104" s="1310"/>
      <c r="C104" s="478" t="s">
        <v>309</v>
      </c>
      <c r="D104" s="519">
        <f>SUM(D82:D103)</f>
        <v>2710000</v>
      </c>
      <c r="E104" s="519">
        <f>SUM(E82:E103)</f>
        <v>1973030</v>
      </c>
      <c r="F104" s="519">
        <f>SUM(F82:F103)</f>
        <v>1985000</v>
      </c>
      <c r="G104" s="743">
        <f t="shared" si="16"/>
        <v>-725000</v>
      </c>
      <c r="H104" s="540">
        <f t="shared" si="14"/>
        <v>-0.26752767527675275</v>
      </c>
      <c r="I104" s="81"/>
    </row>
    <row r="105" spans="1:9" ht="17.25" thickBot="1" x14ac:dyDescent="0.35">
      <c r="A105" s="1304"/>
      <c r="B105" s="1311" t="s">
        <v>13</v>
      </c>
      <c r="C105" s="1311"/>
      <c r="D105" s="629">
        <f>SUM(D81,D104)</f>
        <v>2710000</v>
      </c>
      <c r="E105" s="629">
        <f>SUM(E81,E104)</f>
        <v>1973030</v>
      </c>
      <c r="F105" s="629">
        <f>SUM(F81,F104)</f>
        <v>1985000</v>
      </c>
      <c r="G105" s="605">
        <f t="shared" si="16"/>
        <v>-725000</v>
      </c>
      <c r="H105" s="540">
        <f t="shared" si="14"/>
        <v>-0.26752767527675275</v>
      </c>
      <c r="I105" s="573"/>
    </row>
    <row r="106" spans="1:9" x14ac:dyDescent="0.3">
      <c r="A106" s="1303" t="s">
        <v>279</v>
      </c>
      <c r="B106" s="360" t="s">
        <v>278</v>
      </c>
      <c r="C106" s="219" t="s">
        <v>8</v>
      </c>
      <c r="D106" s="216"/>
      <c r="E106" s="69"/>
      <c r="F106" s="77"/>
      <c r="G106" s="36">
        <f t="shared" si="16"/>
        <v>0</v>
      </c>
      <c r="H106" s="130"/>
      <c r="I106" s="37"/>
    </row>
    <row r="107" spans="1:9" ht="17.25" thickBot="1" x14ac:dyDescent="0.35">
      <c r="A107" s="1304"/>
      <c r="B107" s="1312" t="s">
        <v>13</v>
      </c>
      <c r="C107" s="1313"/>
      <c r="D107" s="210">
        <f>D106</f>
        <v>0</v>
      </c>
      <c r="E107" s="210">
        <f t="shared" ref="E107:F107" si="26">E106</f>
        <v>0</v>
      </c>
      <c r="F107" s="210">
        <f t="shared" si="26"/>
        <v>0</v>
      </c>
      <c r="G107" s="158">
        <f t="shared" si="16"/>
        <v>0</v>
      </c>
      <c r="H107" s="238"/>
      <c r="I107" s="42"/>
    </row>
    <row r="108" spans="1:9" x14ac:dyDescent="0.3">
      <c r="A108" s="1286" t="s">
        <v>198</v>
      </c>
      <c r="B108" s="1288" t="s">
        <v>280</v>
      </c>
      <c r="C108" s="623" t="s">
        <v>65</v>
      </c>
      <c r="D108" s="211">
        <v>36651000</v>
      </c>
      <c r="E108" s="914"/>
      <c r="F108" s="214">
        <v>37546500</v>
      </c>
      <c r="G108" s="157">
        <f t="shared" si="16"/>
        <v>895500</v>
      </c>
      <c r="H108" s="130">
        <f t="shared" si="14"/>
        <v>2.4433166898583939E-2</v>
      </c>
      <c r="I108" s="39"/>
    </row>
    <row r="109" spans="1:9" x14ac:dyDescent="0.3">
      <c r="A109" s="1286"/>
      <c r="B109" s="1289"/>
      <c r="C109" s="624" t="s">
        <v>38</v>
      </c>
      <c r="D109" s="212"/>
      <c r="E109" s="44"/>
      <c r="F109" s="77"/>
      <c r="G109" s="36">
        <f t="shared" si="16"/>
        <v>0</v>
      </c>
      <c r="H109" s="130"/>
      <c r="I109" s="37"/>
    </row>
    <row r="110" spans="1:9" ht="17.25" thickBot="1" x14ac:dyDescent="0.35">
      <c r="A110" s="1461"/>
      <c r="B110" s="1321" t="s">
        <v>13</v>
      </c>
      <c r="C110" s="1322"/>
      <c r="D110" s="576">
        <f>SUM(D108:D109)</f>
        <v>36651000</v>
      </c>
      <c r="E110" s="576">
        <f t="shared" ref="E110:F110" si="27">SUM(E108:E109)</f>
        <v>0</v>
      </c>
      <c r="F110" s="576">
        <f t="shared" si="27"/>
        <v>37546500</v>
      </c>
      <c r="G110" s="520">
        <f t="shared" si="16"/>
        <v>895500</v>
      </c>
      <c r="H110" s="540">
        <f t="shared" si="14"/>
        <v>2.4433166898583939E-2</v>
      </c>
      <c r="I110" s="42"/>
    </row>
    <row r="111" spans="1:9" ht="17.25" thickBot="1" x14ac:dyDescent="0.35">
      <c r="A111" s="673" t="s">
        <v>43</v>
      </c>
      <c r="B111" s="674" t="s">
        <v>43</v>
      </c>
      <c r="C111" s="675" t="s">
        <v>68</v>
      </c>
      <c r="D111" s="666"/>
      <c r="E111" s="924">
        <v>36839975</v>
      </c>
      <c r="F111" s="668"/>
      <c r="G111" s="646">
        <f t="shared" si="16"/>
        <v>0</v>
      </c>
      <c r="H111" s="647"/>
      <c r="I111" s="648"/>
    </row>
    <row r="112" spans="1:9" ht="17.25" thickBot="1" x14ac:dyDescent="0.35">
      <c r="A112" s="1391" t="s">
        <v>41</v>
      </c>
      <c r="B112" s="1392"/>
      <c r="C112" s="1393"/>
      <c r="D112" s="302">
        <f>SUM(D71,D75,D105,D107,D110,D111)</f>
        <v>160828000</v>
      </c>
      <c r="E112" s="302">
        <f>SUM(E71,E75,E105,E107,E110,E111)</f>
        <v>138904430</v>
      </c>
      <c r="F112" s="302">
        <f>SUM(F71,F75,F105,F107,F110,F111)</f>
        <v>149248000</v>
      </c>
      <c r="G112" s="606">
        <f t="shared" si="16"/>
        <v>-11580000</v>
      </c>
      <c r="H112" s="523">
        <f t="shared" si="14"/>
        <v>-7.2002387643942595E-2</v>
      </c>
      <c r="I112" s="78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2:I112"/>
  <sheetViews>
    <sheetView topLeftCell="A112" workbookViewId="0">
      <selection activeCell="G109" sqref="G109"/>
    </sheetView>
  </sheetViews>
  <sheetFormatPr defaultRowHeight="16.5" x14ac:dyDescent="0.3"/>
  <cols>
    <col min="1" max="1" width="15.875" customWidth="1"/>
    <col min="2" max="2" width="13.625" customWidth="1"/>
    <col min="3" max="3" width="24.5" customWidth="1"/>
    <col min="4" max="4" width="18.875" customWidth="1"/>
    <col min="5" max="5" width="19" customWidth="1"/>
    <col min="6" max="6" width="19.5" customWidth="1"/>
    <col min="7" max="7" width="18.875" customWidth="1"/>
    <col min="8" max="8" width="10.25" customWidth="1"/>
    <col min="9" max="9" width="47.5" customWidth="1"/>
  </cols>
  <sheetData>
    <row r="2" spans="1:9" ht="26.45" customHeight="1" x14ac:dyDescent="0.3">
      <c r="A2" s="1464" t="s">
        <v>230</v>
      </c>
      <c r="B2" s="1465"/>
      <c r="C2" s="1465"/>
      <c r="D2" s="1465"/>
      <c r="E2" s="1465"/>
      <c r="F2" s="1465"/>
      <c r="G2" s="1465"/>
      <c r="H2" s="1465"/>
      <c r="I2" s="1465"/>
    </row>
    <row r="3" spans="1:9" ht="16.5" customHeight="1" x14ac:dyDescent="0.3">
      <c r="A3" s="1435" t="s">
        <v>415</v>
      </c>
      <c r="B3" s="1435"/>
      <c r="C3" s="1435"/>
      <c r="D3" s="1435"/>
      <c r="E3" s="1435"/>
      <c r="F3" s="1435"/>
      <c r="G3" s="1435"/>
      <c r="H3" s="1435"/>
      <c r="I3" s="1435"/>
    </row>
    <row r="4" spans="1:9" ht="16.5" customHeight="1" x14ac:dyDescent="0.3">
      <c r="A4" s="1435"/>
      <c r="B4" s="1435"/>
      <c r="C4" s="1435"/>
      <c r="D4" s="1435"/>
      <c r="E4" s="1435"/>
      <c r="F4" s="1435"/>
      <c r="G4" s="1435"/>
      <c r="H4" s="1435"/>
      <c r="I4" s="1435"/>
    </row>
    <row r="5" spans="1:9" ht="17.25" thickBot="1" x14ac:dyDescent="0.35">
      <c r="A5" s="1466" t="s">
        <v>227</v>
      </c>
      <c r="B5" s="1466"/>
      <c r="C5" s="1466"/>
      <c r="D5" s="1466"/>
      <c r="E5" s="1466"/>
      <c r="F5" s="1466"/>
      <c r="G5" s="1466"/>
      <c r="H5" s="1466"/>
      <c r="I5" s="1466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394</v>
      </c>
      <c r="F6" s="1273" t="s">
        <v>321</v>
      </c>
      <c r="G6" s="1273" t="s">
        <v>59</v>
      </c>
      <c r="H6" s="127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276"/>
      <c r="I7" s="1278"/>
    </row>
    <row r="8" spans="1:9" ht="24" customHeight="1" x14ac:dyDescent="0.3">
      <c r="A8" s="1364" t="s">
        <v>165</v>
      </c>
      <c r="B8" s="1309" t="s">
        <v>166</v>
      </c>
      <c r="C8" s="319" t="s">
        <v>147</v>
      </c>
      <c r="D8" s="236"/>
      <c r="E8" s="236"/>
      <c r="F8" s="236"/>
      <c r="G8" s="243">
        <f>F8-D8</f>
        <v>0</v>
      </c>
      <c r="H8" s="237"/>
      <c r="I8" s="293"/>
    </row>
    <row r="9" spans="1:9" ht="24" customHeight="1" x14ac:dyDescent="0.3">
      <c r="A9" s="1364"/>
      <c r="B9" s="1309"/>
      <c r="C9" s="320" t="s">
        <v>150</v>
      </c>
      <c r="D9" s="231"/>
      <c r="E9" s="231"/>
      <c r="F9" s="231"/>
      <c r="G9" s="243">
        <f t="shared" ref="G9:G20" si="0">F9-D9</f>
        <v>0</v>
      </c>
      <c r="H9" s="234"/>
      <c r="I9" s="294"/>
    </row>
    <row r="10" spans="1:9" ht="24" customHeight="1" x14ac:dyDescent="0.3">
      <c r="A10" s="1364"/>
      <c r="B10" s="1309"/>
      <c r="C10" s="320" t="s">
        <v>151</v>
      </c>
      <c r="D10" s="231"/>
      <c r="E10" s="231"/>
      <c r="F10" s="231"/>
      <c r="G10" s="243">
        <f t="shared" si="0"/>
        <v>0</v>
      </c>
      <c r="H10" s="234"/>
      <c r="I10" s="294"/>
    </row>
    <row r="11" spans="1:9" ht="24" customHeight="1" x14ac:dyDescent="0.3">
      <c r="A11" s="1364"/>
      <c r="B11" s="1309"/>
      <c r="C11" s="320" t="s">
        <v>152</v>
      </c>
      <c r="D11" s="231"/>
      <c r="E11" s="231"/>
      <c r="F11" s="231"/>
      <c r="G11" s="243">
        <f t="shared" si="0"/>
        <v>0</v>
      </c>
      <c r="H11" s="234"/>
      <c r="I11" s="294"/>
    </row>
    <row r="12" spans="1:9" ht="24" customHeight="1" x14ac:dyDescent="0.3">
      <c r="A12" s="1364"/>
      <c r="B12" s="1288"/>
      <c r="C12" s="320" t="s">
        <v>153</v>
      </c>
      <c r="D12" s="231"/>
      <c r="E12" s="231"/>
      <c r="F12" s="231"/>
      <c r="G12" s="243">
        <f t="shared" si="0"/>
        <v>0</v>
      </c>
      <c r="H12" s="234"/>
      <c r="I12" s="294"/>
    </row>
    <row r="13" spans="1:9" ht="18" thickBot="1" x14ac:dyDescent="0.35">
      <c r="A13" s="1365"/>
      <c r="B13" s="1374" t="s">
        <v>13</v>
      </c>
      <c r="C13" s="1374"/>
      <c r="D13" s="232">
        <f>SUM(D8:D12)</f>
        <v>0</v>
      </c>
      <c r="E13" s="232">
        <f t="shared" ref="E13:F13" si="1">SUM(E8:E12)</f>
        <v>0</v>
      </c>
      <c r="F13" s="232">
        <f t="shared" si="1"/>
        <v>0</v>
      </c>
      <c r="G13" s="244">
        <f t="shared" si="0"/>
        <v>0</v>
      </c>
      <c r="H13" s="235"/>
      <c r="I13" s="295"/>
    </row>
    <row r="14" spans="1:9" ht="21.75" customHeight="1" x14ac:dyDescent="0.3">
      <c r="A14" s="1401" t="s">
        <v>3</v>
      </c>
      <c r="B14" s="1309" t="s">
        <v>3</v>
      </c>
      <c r="C14" s="319" t="s">
        <v>142</v>
      </c>
      <c r="D14" s="236"/>
      <c r="E14" s="236"/>
      <c r="F14" s="236"/>
      <c r="G14" s="243">
        <f t="shared" si="0"/>
        <v>0</v>
      </c>
      <c r="H14" s="237"/>
      <c r="I14" s="296"/>
    </row>
    <row r="15" spans="1:9" ht="21.75" customHeight="1" x14ac:dyDescent="0.3">
      <c r="A15" s="1401"/>
      <c r="B15" s="1309"/>
      <c r="C15" s="320" t="s">
        <v>143</v>
      </c>
      <c r="D15" s="231"/>
      <c r="E15" s="231"/>
      <c r="F15" s="231"/>
      <c r="G15" s="243">
        <f t="shared" si="0"/>
        <v>0</v>
      </c>
      <c r="H15" s="234"/>
      <c r="I15" s="297"/>
    </row>
    <row r="16" spans="1:9" ht="21.75" customHeight="1" x14ac:dyDescent="0.3">
      <c r="A16" s="1401"/>
      <c r="B16" s="1309"/>
      <c r="C16" s="320" t="s">
        <v>144</v>
      </c>
      <c r="D16" s="231"/>
      <c r="E16" s="231"/>
      <c r="F16" s="231"/>
      <c r="G16" s="243">
        <f t="shared" si="0"/>
        <v>0</v>
      </c>
      <c r="H16" s="234"/>
      <c r="I16" s="297"/>
    </row>
    <row r="17" spans="1:9" ht="21.75" customHeight="1" x14ac:dyDescent="0.3">
      <c r="A17" s="1401"/>
      <c r="B17" s="1309"/>
      <c r="C17" s="320" t="s">
        <v>145</v>
      </c>
      <c r="D17" s="231"/>
      <c r="E17" s="231"/>
      <c r="F17" s="231"/>
      <c r="G17" s="243">
        <f t="shared" si="0"/>
        <v>0</v>
      </c>
      <c r="H17" s="234"/>
      <c r="I17" s="297"/>
    </row>
    <row r="18" spans="1:9" ht="21.75" customHeight="1" x14ac:dyDescent="0.3">
      <c r="A18" s="1401"/>
      <c r="B18" s="1309"/>
      <c r="C18" s="319" t="s">
        <v>146</v>
      </c>
      <c r="D18" s="231"/>
      <c r="E18" s="231"/>
      <c r="F18" s="231"/>
      <c r="G18" s="243">
        <f t="shared" si="0"/>
        <v>0</v>
      </c>
      <c r="H18" s="234"/>
      <c r="I18" s="294"/>
    </row>
    <row r="19" spans="1:9" ht="21.75" customHeight="1" x14ac:dyDescent="0.3">
      <c r="A19" s="1401"/>
      <c r="B19" s="1309"/>
      <c r="C19" s="146" t="s">
        <v>148</v>
      </c>
      <c r="D19" s="231"/>
      <c r="E19" s="231"/>
      <c r="F19" s="231"/>
      <c r="G19" s="243">
        <f t="shared" si="0"/>
        <v>0</v>
      </c>
      <c r="H19" s="234"/>
      <c r="I19" s="294"/>
    </row>
    <row r="20" spans="1:9" ht="21.75" customHeight="1" x14ac:dyDescent="0.3">
      <c r="A20" s="1401"/>
      <c r="B20" s="1309"/>
      <c r="C20" s="146" t="s">
        <v>149</v>
      </c>
      <c r="D20" s="231"/>
      <c r="E20" s="231"/>
      <c r="F20" s="231"/>
      <c r="G20" s="243">
        <f t="shared" si="0"/>
        <v>0</v>
      </c>
      <c r="H20" s="234"/>
      <c r="I20" s="294"/>
    </row>
    <row r="21" spans="1:9" ht="21.75" customHeight="1" x14ac:dyDescent="0.3">
      <c r="A21" s="1401"/>
      <c r="B21" s="1288"/>
      <c r="C21" s="146" t="s">
        <v>167</v>
      </c>
      <c r="D21" s="65">
        <v>4420000</v>
      </c>
      <c r="E21" s="922">
        <v>0</v>
      </c>
      <c r="F21" s="35"/>
      <c r="G21" s="35">
        <f>F21-D21</f>
        <v>-4420000</v>
      </c>
      <c r="H21" s="130">
        <f>G21/D21*100%</f>
        <v>-1</v>
      </c>
      <c r="I21" s="37"/>
    </row>
    <row r="22" spans="1:9" ht="17.25" thickBot="1" x14ac:dyDescent="0.35">
      <c r="A22" s="1460"/>
      <c r="B22" s="1403" t="s">
        <v>13</v>
      </c>
      <c r="C22" s="1404"/>
      <c r="D22" s="520">
        <f>SUM(D14:D21)</f>
        <v>4420000</v>
      </c>
      <c r="E22" s="520">
        <f t="shared" ref="E22:F22" si="2">SUM(E14:E21)</f>
        <v>0</v>
      </c>
      <c r="F22" s="520">
        <f t="shared" si="2"/>
        <v>0</v>
      </c>
      <c r="G22" s="910">
        <f t="shared" ref="G22:G48" si="3">F22-D22</f>
        <v>-4420000</v>
      </c>
      <c r="H22" s="654">
        <f>G22/D22*100%</f>
        <v>-1</v>
      </c>
      <c r="I22" s="41"/>
    </row>
    <row r="23" spans="1:9" ht="15" customHeight="1" x14ac:dyDescent="0.3">
      <c r="A23" s="1371" t="s">
        <v>159</v>
      </c>
      <c r="B23" s="1308" t="s">
        <v>159</v>
      </c>
      <c r="C23" s="147" t="s">
        <v>113</v>
      </c>
      <c r="D23" s="70"/>
      <c r="E23" s="70"/>
      <c r="F23" s="71"/>
      <c r="G23" s="160">
        <f t="shared" si="3"/>
        <v>0</v>
      </c>
      <c r="H23" s="163"/>
      <c r="I23" s="79"/>
    </row>
    <row r="24" spans="1:9" ht="15" customHeight="1" x14ac:dyDescent="0.3">
      <c r="A24" s="1372"/>
      <c r="B24" s="1309"/>
      <c r="C24" s="320" t="s">
        <v>63</v>
      </c>
      <c r="D24" s="44"/>
      <c r="E24" s="44"/>
      <c r="F24" s="66"/>
      <c r="G24" s="161">
        <f t="shared" si="3"/>
        <v>0</v>
      </c>
      <c r="H24" s="164"/>
      <c r="I24" s="80"/>
    </row>
    <row r="25" spans="1:9" ht="15" customHeight="1" x14ac:dyDescent="0.3">
      <c r="A25" s="1372"/>
      <c r="B25" s="1309"/>
      <c r="C25" s="320" t="s">
        <v>30</v>
      </c>
      <c r="D25" s="44"/>
      <c r="E25" s="44"/>
      <c r="F25" s="66"/>
      <c r="G25" s="161">
        <f t="shared" si="3"/>
        <v>0</v>
      </c>
      <c r="H25" s="164"/>
      <c r="I25" s="80"/>
    </row>
    <row r="26" spans="1:9" ht="15" customHeight="1" x14ac:dyDescent="0.3">
      <c r="A26" s="1372"/>
      <c r="B26" s="1288"/>
      <c r="C26" s="320" t="s">
        <v>64</v>
      </c>
      <c r="D26" s="44"/>
      <c r="E26" s="44"/>
      <c r="F26" s="66"/>
      <c r="G26" s="161">
        <f t="shared" si="3"/>
        <v>0</v>
      </c>
      <c r="H26" s="164"/>
      <c r="I26" s="80"/>
    </row>
    <row r="27" spans="1:9" ht="17.25" thickBot="1" x14ac:dyDescent="0.35">
      <c r="A27" s="1373"/>
      <c r="B27" s="1368" t="s">
        <v>13</v>
      </c>
      <c r="C27" s="1394"/>
      <c r="D27" s="73">
        <f>SUM(D23:D26)</f>
        <v>0</v>
      </c>
      <c r="E27" s="73">
        <f t="shared" ref="E27:F27" si="4">SUM(E23:E26)</f>
        <v>0</v>
      </c>
      <c r="F27" s="73">
        <f t="shared" si="4"/>
        <v>0</v>
      </c>
      <c r="G27" s="162">
        <f t="shared" si="3"/>
        <v>0</v>
      </c>
      <c r="H27" s="165"/>
      <c r="I27" s="81"/>
    </row>
    <row r="28" spans="1:9" ht="16.5" customHeight="1" x14ac:dyDescent="0.3">
      <c r="A28" s="1325" t="s">
        <v>161</v>
      </c>
      <c r="B28" s="1288" t="s">
        <v>161</v>
      </c>
      <c r="C28" s="151" t="s">
        <v>6</v>
      </c>
      <c r="D28" s="69"/>
      <c r="E28" s="69"/>
      <c r="F28" s="69"/>
      <c r="G28" s="36">
        <f t="shared" si="3"/>
        <v>0</v>
      </c>
      <c r="H28" s="130"/>
      <c r="I28" s="82"/>
    </row>
    <row r="29" spans="1:9" ht="16.5" customHeight="1" x14ac:dyDescent="0.3">
      <c r="A29" s="1326"/>
      <c r="B29" s="1289"/>
      <c r="C29" s="151" t="s">
        <v>7</v>
      </c>
      <c r="D29" s="65"/>
      <c r="E29" s="65"/>
      <c r="F29" s="36"/>
      <c r="G29" s="36">
        <f t="shared" si="3"/>
        <v>0</v>
      </c>
      <c r="H29" s="130"/>
      <c r="I29" s="37"/>
    </row>
    <row r="30" spans="1:9" ht="17.25" thickBot="1" x14ac:dyDescent="0.35">
      <c r="A30" s="1327"/>
      <c r="B30" s="1374" t="s">
        <v>13</v>
      </c>
      <c r="C30" s="1374"/>
      <c r="D30" s="67">
        <f>SUM(D28:D29)</f>
        <v>0</v>
      </c>
      <c r="E30" s="67">
        <f t="shared" ref="E30:F30" si="5">SUM(E28:E29)</f>
        <v>0</v>
      </c>
      <c r="F30" s="292">
        <f t="shared" si="5"/>
        <v>0</v>
      </c>
      <c r="G30" s="292">
        <f t="shared" si="3"/>
        <v>0</v>
      </c>
      <c r="H30" s="238"/>
      <c r="I30" s="42"/>
    </row>
    <row r="31" spans="1:9" ht="15.75" customHeight="1" x14ac:dyDescent="0.3">
      <c r="A31" s="1370" t="s">
        <v>163</v>
      </c>
      <c r="B31" s="1308" t="s">
        <v>163</v>
      </c>
      <c r="C31" s="147" t="s">
        <v>154</v>
      </c>
      <c r="D31" s="71"/>
      <c r="E31" s="71"/>
      <c r="F31" s="69"/>
      <c r="G31" s="69">
        <f t="shared" si="3"/>
        <v>0</v>
      </c>
      <c r="H31" s="222"/>
      <c r="I31" s="79"/>
    </row>
    <row r="32" spans="1:9" ht="15.75" customHeight="1" x14ac:dyDescent="0.3">
      <c r="A32" s="1364"/>
      <c r="B32" s="1288"/>
      <c r="C32" s="320" t="s">
        <v>155</v>
      </c>
      <c r="D32" s="66"/>
      <c r="E32" s="66"/>
      <c r="F32" s="66"/>
      <c r="G32" s="66">
        <f t="shared" si="3"/>
        <v>0</v>
      </c>
      <c r="H32" s="218"/>
      <c r="I32" s="83"/>
    </row>
    <row r="33" spans="1:9" ht="17.25" thickBot="1" x14ac:dyDescent="0.35">
      <c r="A33" s="1365"/>
      <c r="B33" s="321"/>
      <c r="C33" s="321" t="s">
        <v>13</v>
      </c>
      <c r="D33" s="73">
        <f>SUM(D31:D32)</f>
        <v>0</v>
      </c>
      <c r="E33" s="73">
        <f t="shared" ref="E33:F33" si="6">SUM(E31:E32)</f>
        <v>0</v>
      </c>
      <c r="F33" s="73">
        <f t="shared" si="6"/>
        <v>0</v>
      </c>
      <c r="G33" s="40">
        <f t="shared" si="3"/>
        <v>0</v>
      </c>
      <c r="H33" s="233"/>
      <c r="I33" s="81"/>
    </row>
    <row r="34" spans="1:9" ht="18" customHeight="1" x14ac:dyDescent="0.3">
      <c r="A34" s="326"/>
      <c r="B34" s="1309" t="s">
        <v>4</v>
      </c>
      <c r="C34" s="319" t="s">
        <v>183</v>
      </c>
      <c r="D34" s="69"/>
      <c r="E34" s="69"/>
      <c r="F34" s="69"/>
      <c r="G34" s="450">
        <f t="shared" si="3"/>
        <v>0</v>
      </c>
      <c r="H34" s="651"/>
      <c r="I34" s="240"/>
    </row>
    <row r="35" spans="1:9" ht="18" customHeight="1" x14ac:dyDescent="0.3">
      <c r="A35" s="1303" t="s">
        <v>4</v>
      </c>
      <c r="B35" s="1288"/>
      <c r="C35" s="146" t="s">
        <v>184</v>
      </c>
      <c r="D35" s="66"/>
      <c r="E35" s="66"/>
      <c r="F35" s="44"/>
      <c r="G35" s="69">
        <f t="shared" si="3"/>
        <v>0</v>
      </c>
      <c r="H35" s="222"/>
      <c r="I35" s="83"/>
    </row>
    <row r="36" spans="1:9" ht="17.25" thickBot="1" x14ac:dyDescent="0.35">
      <c r="A36" s="1304"/>
      <c r="B36" s="1399" t="s">
        <v>13</v>
      </c>
      <c r="C36" s="1400"/>
      <c r="D36" s="241">
        <f>SUM(D34:D35)</f>
        <v>0</v>
      </c>
      <c r="E36" s="241">
        <f t="shared" ref="E36:F36" si="7">SUM(E34:E35)</f>
        <v>0</v>
      </c>
      <c r="F36" s="241">
        <f t="shared" si="7"/>
        <v>0</v>
      </c>
      <c r="G36" s="158">
        <f t="shared" si="3"/>
        <v>0</v>
      </c>
      <c r="H36" s="166"/>
      <c r="I36" s="42"/>
    </row>
    <row r="37" spans="1:9" ht="15" customHeight="1" x14ac:dyDescent="0.3">
      <c r="A37" s="1302" t="s">
        <v>170</v>
      </c>
      <c r="B37" s="1308" t="s">
        <v>170</v>
      </c>
      <c r="C37" s="149" t="s">
        <v>9</v>
      </c>
      <c r="D37" s="68">
        <v>3056523</v>
      </c>
      <c r="E37" s="915">
        <v>3056523</v>
      </c>
      <c r="F37" s="43">
        <v>3056523</v>
      </c>
      <c r="G37" s="36">
        <f t="shared" si="3"/>
        <v>0</v>
      </c>
      <c r="H37" s="130">
        <f>G37/D37*100%</f>
        <v>0</v>
      </c>
      <c r="I37" s="74"/>
    </row>
    <row r="38" spans="1:9" ht="15" customHeight="1" x14ac:dyDescent="0.3">
      <c r="A38" s="1303"/>
      <c r="B38" s="1288"/>
      <c r="C38" s="624" t="s">
        <v>174</v>
      </c>
      <c r="D38" s="75"/>
      <c r="E38" s="75"/>
      <c r="F38" s="133"/>
      <c r="G38" s="36">
        <f t="shared" si="3"/>
        <v>0</v>
      </c>
      <c r="H38" s="130"/>
      <c r="I38" s="239"/>
    </row>
    <row r="39" spans="1:9" ht="17.25" thickBot="1" x14ac:dyDescent="0.35">
      <c r="A39" s="1304"/>
      <c r="B39" s="1312" t="s">
        <v>13</v>
      </c>
      <c r="C39" s="1313"/>
      <c r="D39" s="519">
        <f>SUM(D37:D38)</f>
        <v>3056523</v>
      </c>
      <c r="E39" s="519">
        <f t="shared" ref="E39:F39" si="8">SUM(E37:E38)</f>
        <v>3056523</v>
      </c>
      <c r="F39" s="519">
        <f t="shared" si="8"/>
        <v>3056523</v>
      </c>
      <c r="G39" s="520">
        <f t="shared" si="3"/>
        <v>0</v>
      </c>
      <c r="H39" s="540">
        <f t="shared" ref="H39:H48" si="9">G39/D39*100%</f>
        <v>0</v>
      </c>
      <c r="I39" s="81"/>
    </row>
    <row r="40" spans="1:9" ht="15.75" customHeight="1" x14ac:dyDescent="0.3">
      <c r="A40" s="1456" t="s">
        <v>172</v>
      </c>
      <c r="B40" s="1323" t="s">
        <v>172</v>
      </c>
      <c r="C40" s="617" t="s">
        <v>353</v>
      </c>
      <c r="D40" s="71"/>
      <c r="E40" s="71"/>
      <c r="F40" s="70"/>
      <c r="G40" s="155">
        <f t="shared" si="3"/>
        <v>0</v>
      </c>
      <c r="H40" s="453"/>
      <c r="I40" s="79"/>
    </row>
    <row r="41" spans="1:9" ht="15.75" customHeight="1" x14ac:dyDescent="0.3">
      <c r="A41" s="1473"/>
      <c r="B41" s="1288"/>
      <c r="C41" s="618" t="s">
        <v>173</v>
      </c>
      <c r="D41" s="884">
        <v>4477</v>
      </c>
      <c r="E41" s="916">
        <v>1523</v>
      </c>
      <c r="F41" s="44">
        <v>3477</v>
      </c>
      <c r="G41" s="36"/>
      <c r="H41" s="130"/>
      <c r="I41" s="240"/>
    </row>
    <row r="42" spans="1:9" ht="15.75" customHeight="1" x14ac:dyDescent="0.3">
      <c r="A42" s="1457"/>
      <c r="B42" s="1289"/>
      <c r="C42" s="619" t="s">
        <v>175</v>
      </c>
      <c r="D42" s="66"/>
      <c r="E42" s="66"/>
      <c r="F42" s="44"/>
      <c r="G42" s="36">
        <f t="shared" si="3"/>
        <v>0</v>
      </c>
      <c r="H42" s="130"/>
      <c r="I42" s="83"/>
    </row>
    <row r="43" spans="1:9" ht="15.75" customHeight="1" x14ac:dyDescent="0.3">
      <c r="A43" s="1457"/>
      <c r="B43" s="1289"/>
      <c r="C43" s="619" t="s">
        <v>10</v>
      </c>
      <c r="D43" s="66"/>
      <c r="E43" s="66"/>
      <c r="F43" s="44"/>
      <c r="G43" s="36">
        <f t="shared" si="3"/>
        <v>0</v>
      </c>
      <c r="H43" s="130"/>
      <c r="I43" s="83"/>
    </row>
    <row r="44" spans="1:9" ht="17.25" thickBot="1" x14ac:dyDescent="0.35">
      <c r="A44" s="1458"/>
      <c r="B44" s="1374" t="s">
        <v>13</v>
      </c>
      <c r="C44" s="1374"/>
      <c r="D44" s="519">
        <f>SUM(D40:D43)</f>
        <v>4477</v>
      </c>
      <c r="E44" s="519">
        <f t="shared" ref="E44:F44" si="10">SUM(E40:E43)</f>
        <v>1523</v>
      </c>
      <c r="F44" s="519">
        <f t="shared" si="10"/>
        <v>3477</v>
      </c>
      <c r="G44" s="520">
        <f t="shared" si="3"/>
        <v>-1000</v>
      </c>
      <c r="H44" s="540">
        <f t="shared" si="9"/>
        <v>-0.22336385972749609</v>
      </c>
      <c r="I44" s="81"/>
    </row>
    <row r="45" spans="1:9" ht="24.75" customHeight="1" x14ac:dyDescent="0.3">
      <c r="A45" s="1395" t="s">
        <v>176</v>
      </c>
      <c r="B45" s="1323" t="s">
        <v>177</v>
      </c>
      <c r="C45" s="617" t="s">
        <v>178</v>
      </c>
      <c r="D45" s="71"/>
      <c r="E45" s="71"/>
      <c r="F45" s="70"/>
      <c r="G45" s="155">
        <f t="shared" si="3"/>
        <v>0</v>
      </c>
      <c r="H45" s="453"/>
      <c r="I45" s="79"/>
    </row>
    <row r="46" spans="1:9" ht="24.75" customHeight="1" x14ac:dyDescent="0.3">
      <c r="A46" s="1326"/>
      <c r="B46" s="1289"/>
      <c r="C46" s="619" t="s">
        <v>179</v>
      </c>
      <c r="D46" s="66"/>
      <c r="E46" s="66"/>
      <c r="F46" s="44"/>
      <c r="G46" s="36">
        <f t="shared" si="3"/>
        <v>0</v>
      </c>
      <c r="H46" s="130"/>
      <c r="I46" s="83"/>
    </row>
    <row r="47" spans="1:9" ht="17.25" thickBot="1" x14ac:dyDescent="0.35">
      <c r="A47" s="1327"/>
      <c r="B47" s="1374" t="s">
        <v>13</v>
      </c>
      <c r="C47" s="1374"/>
      <c r="D47" s="73">
        <f>SUM(D45:D46)</f>
        <v>0</v>
      </c>
      <c r="E47" s="73">
        <f t="shared" ref="E47:F47" si="11">SUM(E45:E46)</f>
        <v>0</v>
      </c>
      <c r="F47" s="73">
        <f t="shared" si="11"/>
        <v>0</v>
      </c>
      <c r="G47" s="40">
        <f t="shared" si="3"/>
        <v>0</v>
      </c>
      <c r="H47" s="233"/>
      <c r="I47" s="81"/>
    </row>
    <row r="48" spans="1:9" ht="17.25" thickBot="1" x14ac:dyDescent="0.35">
      <c r="A48" s="1485" t="s">
        <v>41</v>
      </c>
      <c r="B48" s="1486"/>
      <c r="C48" s="1487"/>
      <c r="D48" s="302">
        <f>SUM(D22,D27,D30,D36,D39,,D44,D47)</f>
        <v>7481000</v>
      </c>
      <c r="E48" s="302">
        <f t="shared" ref="E48:F48" si="12">SUM(E22,E27,E30,E36,E39,,E44,E47)</f>
        <v>3058046</v>
      </c>
      <c r="F48" s="302">
        <f t="shared" si="12"/>
        <v>3060000</v>
      </c>
      <c r="G48" s="302">
        <f t="shared" si="3"/>
        <v>-4421000</v>
      </c>
      <c r="H48" s="523">
        <f t="shared" si="9"/>
        <v>-0.59096377489640417</v>
      </c>
      <c r="I48" s="78"/>
    </row>
    <row r="49" spans="1:9" ht="17.25" thickBot="1" x14ac:dyDescent="0.35">
      <c r="A49" s="1475" t="s">
        <v>66</v>
      </c>
      <c r="B49" s="1340"/>
      <c r="C49" s="1340"/>
      <c r="D49" s="1340"/>
      <c r="E49" s="1340"/>
      <c r="F49" s="1340"/>
      <c r="G49" s="1340"/>
      <c r="H49" s="1340"/>
      <c r="I49" s="1476"/>
    </row>
    <row r="50" spans="1:9" ht="17.45" customHeight="1" x14ac:dyDescent="0.3">
      <c r="A50" s="1314" t="s">
        <v>29</v>
      </c>
      <c r="B50" s="1315"/>
      <c r="C50" s="1315"/>
      <c r="D50" s="1273" t="s">
        <v>237</v>
      </c>
      <c r="E50" s="1273" t="s">
        <v>394</v>
      </c>
      <c r="F50" s="1273" t="s">
        <v>310</v>
      </c>
      <c r="G50" s="1273" t="s">
        <v>59</v>
      </c>
      <c r="H50" s="1275" t="s">
        <v>49</v>
      </c>
      <c r="I50" s="1277" t="s">
        <v>61</v>
      </c>
    </row>
    <row r="51" spans="1:9" ht="18" customHeight="1" thickBot="1" x14ac:dyDescent="0.35">
      <c r="A51" s="84" t="s">
        <v>0</v>
      </c>
      <c r="B51" s="136" t="s">
        <v>1</v>
      </c>
      <c r="C51" s="136" t="s">
        <v>2</v>
      </c>
      <c r="D51" s="1274"/>
      <c r="E51" s="1274"/>
      <c r="F51" s="1274"/>
      <c r="G51" s="1274"/>
      <c r="H51" s="1276"/>
      <c r="I51" s="1278"/>
    </row>
    <row r="52" spans="1:9" x14ac:dyDescent="0.3">
      <c r="A52" s="159" t="s">
        <v>185</v>
      </c>
      <c r="B52" s="1323" t="s">
        <v>186</v>
      </c>
      <c r="C52" s="536" t="s">
        <v>17</v>
      </c>
      <c r="D52" s="35">
        <v>2874000</v>
      </c>
      <c r="E52" s="917"/>
      <c r="F52" s="35"/>
      <c r="G52" s="43">
        <f>F52-D52</f>
        <v>-2874000</v>
      </c>
      <c r="H52" s="453">
        <f>G52/D52*100%</f>
        <v>-1</v>
      </c>
      <c r="I52" s="544"/>
    </row>
    <row r="53" spans="1:9" ht="18" customHeight="1" x14ac:dyDescent="0.3">
      <c r="A53" s="64"/>
      <c r="B53" s="1289"/>
      <c r="C53" s="150" t="s">
        <v>32</v>
      </c>
      <c r="D53" s="35">
        <v>40000</v>
      </c>
      <c r="E53" s="917"/>
      <c r="F53" s="35"/>
      <c r="G53" s="35">
        <f t="shared" ref="G53:G112" si="13">F53-D53</f>
        <v>-40000</v>
      </c>
      <c r="H53" s="130">
        <f t="shared" ref="H53:H112" si="14">G53/D53*100%</f>
        <v>-1</v>
      </c>
      <c r="I53" s="37"/>
    </row>
    <row r="54" spans="1:9" ht="18" customHeight="1" x14ac:dyDescent="0.3">
      <c r="A54" s="64"/>
      <c r="B54" s="1289"/>
      <c r="C54" s="150" t="s">
        <v>180</v>
      </c>
      <c r="D54" s="36"/>
      <c r="E54" s="918"/>
      <c r="F54" s="35"/>
      <c r="G54" s="35"/>
      <c r="H54" s="130"/>
      <c r="I54" s="37"/>
    </row>
    <row r="55" spans="1:9" ht="18" customHeight="1" x14ac:dyDescent="0.3">
      <c r="A55" s="64"/>
      <c r="B55" s="1289"/>
      <c r="C55" s="150" t="s">
        <v>84</v>
      </c>
      <c r="D55" s="35">
        <v>240000</v>
      </c>
      <c r="E55" s="917"/>
      <c r="F55" s="35"/>
      <c r="G55" s="35">
        <f t="shared" si="13"/>
        <v>-240000</v>
      </c>
      <c r="H55" s="130">
        <f t="shared" si="14"/>
        <v>-1</v>
      </c>
      <c r="I55" s="37"/>
    </row>
    <row r="56" spans="1:9" ht="18" customHeight="1" x14ac:dyDescent="0.3">
      <c r="A56" s="64"/>
      <c r="B56" s="1289"/>
      <c r="C56" s="150" t="s">
        <v>33</v>
      </c>
      <c r="D56" s="35"/>
      <c r="E56" s="35"/>
      <c r="F56" s="35"/>
      <c r="G56" s="35"/>
      <c r="H56" s="130"/>
      <c r="I56" s="37"/>
    </row>
    <row r="57" spans="1:9" ht="18" customHeight="1" x14ac:dyDescent="0.3">
      <c r="A57" s="64"/>
      <c r="B57" s="1289"/>
      <c r="C57" s="150" t="s">
        <v>18</v>
      </c>
      <c r="D57" s="35"/>
      <c r="E57" s="35"/>
      <c r="F57" s="35"/>
      <c r="G57" s="35"/>
      <c r="H57" s="130"/>
      <c r="I57" s="37"/>
    </row>
    <row r="58" spans="1:9" ht="18" customHeight="1" thickBot="1" x14ac:dyDescent="0.35">
      <c r="A58" s="64"/>
      <c r="B58" s="1324"/>
      <c r="C58" s="538" t="s">
        <v>305</v>
      </c>
      <c r="D58" s="539">
        <f>SUM(D52:D57)</f>
        <v>3154000</v>
      </c>
      <c r="E58" s="539">
        <f t="shared" ref="E58:F58" si="15">SUM(E52:E57)</f>
        <v>0</v>
      </c>
      <c r="F58" s="539">
        <f t="shared" si="15"/>
        <v>0</v>
      </c>
      <c r="G58" s="605">
        <f t="shared" si="13"/>
        <v>-3154000</v>
      </c>
      <c r="H58" s="540">
        <f t="shared" si="14"/>
        <v>-1</v>
      </c>
      <c r="I58" s="41"/>
    </row>
    <row r="59" spans="1:9" ht="18" customHeight="1" x14ac:dyDescent="0.3">
      <c r="A59" s="64"/>
      <c r="B59" s="1323" t="s">
        <v>90</v>
      </c>
      <c r="C59" s="149" t="s">
        <v>19</v>
      </c>
      <c r="D59" s="541"/>
      <c r="E59" s="43"/>
      <c r="F59" s="43"/>
      <c r="G59" s="155">
        <f t="shared" si="13"/>
        <v>0</v>
      </c>
      <c r="H59" s="453"/>
      <c r="I59" s="544"/>
    </row>
    <row r="60" spans="1:9" ht="18" customHeight="1" x14ac:dyDescent="0.3">
      <c r="A60" s="64"/>
      <c r="B60" s="1289"/>
      <c r="C60" s="219" t="s">
        <v>182</v>
      </c>
      <c r="D60" s="35"/>
      <c r="E60" s="35"/>
      <c r="F60" s="35"/>
      <c r="G60" s="36">
        <f t="shared" si="13"/>
        <v>0</v>
      </c>
      <c r="H60" s="130"/>
      <c r="I60" s="37"/>
    </row>
    <row r="61" spans="1:9" ht="18" customHeight="1" x14ac:dyDescent="0.3">
      <c r="A61" s="64"/>
      <c r="B61" s="1289"/>
      <c r="C61" s="150" t="s">
        <v>20</v>
      </c>
      <c r="D61" s="35"/>
      <c r="E61" s="35"/>
      <c r="F61" s="35"/>
      <c r="G61" s="36">
        <f t="shared" si="13"/>
        <v>0</v>
      </c>
      <c r="H61" s="130"/>
      <c r="I61" s="37"/>
    </row>
    <row r="62" spans="1:9" ht="17.25" thickBot="1" x14ac:dyDescent="0.35">
      <c r="A62" s="64"/>
      <c r="B62" s="1324"/>
      <c r="C62" s="538" t="s">
        <v>306</v>
      </c>
      <c r="D62" s="67">
        <f>SUM(D59:D61)</f>
        <v>0</v>
      </c>
      <c r="E62" s="67">
        <f t="shared" ref="E62:F62" si="16">SUM(E59:E61)</f>
        <v>0</v>
      </c>
      <c r="F62" s="67">
        <f t="shared" si="16"/>
        <v>0</v>
      </c>
      <c r="G62" s="40">
        <f t="shared" si="13"/>
        <v>0</v>
      </c>
      <c r="H62" s="233"/>
      <c r="I62" s="41"/>
    </row>
    <row r="63" spans="1:9" x14ac:dyDescent="0.3">
      <c r="A63" s="64"/>
      <c r="B63" s="1323" t="s">
        <v>131</v>
      </c>
      <c r="C63" s="536" t="s">
        <v>21</v>
      </c>
      <c r="D63" s="155"/>
      <c r="E63" s="543"/>
      <c r="F63" s="43"/>
      <c r="G63" s="155">
        <f t="shared" si="13"/>
        <v>0</v>
      </c>
      <c r="H63" s="453"/>
      <c r="I63" s="544"/>
    </row>
    <row r="64" spans="1:9" ht="17.25" customHeight="1" x14ac:dyDescent="0.3">
      <c r="A64" s="64"/>
      <c r="B64" s="1289"/>
      <c r="C64" s="150" t="s">
        <v>34</v>
      </c>
      <c r="D64" s="206"/>
      <c r="E64" s="132"/>
      <c r="F64" s="77"/>
      <c r="G64" s="36">
        <f t="shared" si="13"/>
        <v>0</v>
      </c>
      <c r="H64" s="130"/>
      <c r="I64" s="37"/>
    </row>
    <row r="65" spans="1:9" ht="17.25" customHeight="1" x14ac:dyDescent="0.3">
      <c r="A65" s="64"/>
      <c r="B65" s="1289"/>
      <c r="C65" s="150" t="s">
        <v>23</v>
      </c>
      <c r="D65" s="206"/>
      <c r="E65" s="44"/>
      <c r="F65" s="77"/>
      <c r="G65" s="36">
        <f t="shared" si="13"/>
        <v>0</v>
      </c>
      <c r="H65" s="130"/>
      <c r="I65" s="37"/>
    </row>
    <row r="66" spans="1:9" ht="17.25" customHeight="1" x14ac:dyDescent="0.3">
      <c r="A66" s="64"/>
      <c r="B66" s="1289"/>
      <c r="C66" s="150" t="s">
        <v>24</v>
      </c>
      <c r="D66" s="206"/>
      <c r="E66" s="44"/>
      <c r="F66" s="77"/>
      <c r="G66" s="36">
        <f t="shared" si="13"/>
        <v>0</v>
      </c>
      <c r="H66" s="130"/>
      <c r="I66" s="37"/>
    </row>
    <row r="67" spans="1:9" ht="17.25" customHeight="1" x14ac:dyDescent="0.3">
      <c r="A67" s="99"/>
      <c r="B67" s="1289"/>
      <c r="C67" s="150" t="s">
        <v>35</v>
      </c>
      <c r="D67" s="207"/>
      <c r="E67" s="132"/>
      <c r="F67" s="156"/>
      <c r="G67" s="133">
        <f t="shared" si="13"/>
        <v>0</v>
      </c>
      <c r="H67" s="130"/>
      <c r="I67" s="76"/>
    </row>
    <row r="68" spans="1:9" ht="17.25" customHeight="1" x14ac:dyDescent="0.3">
      <c r="A68" s="99"/>
      <c r="B68" s="1289"/>
      <c r="C68" s="624" t="s">
        <v>86</v>
      </c>
      <c r="D68" s="44"/>
      <c r="E68" s="44"/>
      <c r="F68" s="44"/>
      <c r="G68" s="66">
        <f t="shared" si="13"/>
        <v>0</v>
      </c>
      <c r="H68" s="130"/>
      <c r="I68" s="83"/>
    </row>
    <row r="69" spans="1:9" ht="17.25" customHeight="1" x14ac:dyDescent="0.3">
      <c r="A69" s="99"/>
      <c r="B69" s="1289"/>
      <c r="C69" s="624" t="s">
        <v>36</v>
      </c>
      <c r="D69" s="44"/>
      <c r="E69" s="44"/>
      <c r="F69" s="44"/>
      <c r="G69" s="66">
        <f t="shared" si="13"/>
        <v>0</v>
      </c>
      <c r="H69" s="130"/>
      <c r="I69" s="83"/>
    </row>
    <row r="70" spans="1:9" ht="17.25" thickBot="1" x14ac:dyDescent="0.35">
      <c r="A70" s="99"/>
      <c r="B70" s="1324"/>
      <c r="C70" s="545" t="s">
        <v>307</v>
      </c>
      <c r="D70" s="546">
        <f>SUM(D63:D69)</f>
        <v>0</v>
      </c>
      <c r="E70" s="546">
        <f t="shared" ref="E70:F70" si="17">SUM(E63:E69)</f>
        <v>0</v>
      </c>
      <c r="F70" s="546">
        <f t="shared" si="17"/>
        <v>0</v>
      </c>
      <c r="G70" s="40">
        <f t="shared" si="13"/>
        <v>0</v>
      </c>
      <c r="H70" s="233"/>
      <c r="I70" s="42"/>
    </row>
    <row r="71" spans="1:9" ht="17.25" thickBot="1" x14ac:dyDescent="0.35">
      <c r="A71" s="137" t="s">
        <v>123</v>
      </c>
      <c r="B71" s="1488" t="s">
        <v>13</v>
      </c>
      <c r="C71" s="1489"/>
      <c r="D71" s="552">
        <f>SUM(D58,D62,D70)</f>
        <v>3154000</v>
      </c>
      <c r="E71" s="553">
        <f t="shared" ref="E71:F71" si="18">SUM(E58,E62,E70)</f>
        <v>0</v>
      </c>
      <c r="F71" s="552">
        <f t="shared" si="18"/>
        <v>0</v>
      </c>
      <c r="G71" s="553">
        <f t="shared" si="13"/>
        <v>-3154000</v>
      </c>
      <c r="H71" s="554">
        <f t="shared" si="14"/>
        <v>-1</v>
      </c>
      <c r="I71" s="549"/>
    </row>
    <row r="72" spans="1:9" ht="17.25" customHeight="1" x14ac:dyDescent="0.3">
      <c r="A72" s="1395" t="s">
        <v>189</v>
      </c>
      <c r="B72" s="1323" t="s">
        <v>42</v>
      </c>
      <c r="C72" s="149" t="s">
        <v>11</v>
      </c>
      <c r="D72" s="208"/>
      <c r="E72" s="638"/>
      <c r="F72" s="154"/>
      <c r="G72" s="583">
        <f t="shared" si="13"/>
        <v>0</v>
      </c>
      <c r="H72" s="453"/>
      <c r="I72" s="544"/>
    </row>
    <row r="73" spans="1:9" ht="17.25" customHeight="1" x14ac:dyDescent="0.3">
      <c r="A73" s="1325"/>
      <c r="B73" s="1288"/>
      <c r="C73" s="623" t="s">
        <v>340</v>
      </c>
      <c r="D73" s="547"/>
      <c r="E73" s="224"/>
      <c r="F73" s="548"/>
      <c r="G73" s="36">
        <f t="shared" si="13"/>
        <v>0</v>
      </c>
      <c r="H73" s="130"/>
      <c r="I73" s="37"/>
    </row>
    <row r="74" spans="1:9" ht="17.25" customHeight="1" x14ac:dyDescent="0.3">
      <c r="A74" s="1326"/>
      <c r="B74" s="1289"/>
      <c r="C74" s="624" t="s">
        <v>37</v>
      </c>
      <c r="D74" s="209"/>
      <c r="E74" s="44"/>
      <c r="F74" s="77"/>
      <c r="G74" s="36">
        <f t="shared" si="13"/>
        <v>0</v>
      </c>
      <c r="H74" s="130"/>
      <c r="I74" s="37"/>
    </row>
    <row r="75" spans="1:9" ht="17.25" thickBot="1" x14ac:dyDescent="0.35">
      <c r="A75" s="1327"/>
      <c r="B75" s="1300" t="s">
        <v>13</v>
      </c>
      <c r="C75" s="1301"/>
      <c r="D75" s="210">
        <f>SUM(D72:D74)</f>
        <v>0</v>
      </c>
      <c r="E75" s="210">
        <f t="shared" ref="E75:F75" si="19">SUM(E72:E74)</f>
        <v>0</v>
      </c>
      <c r="F75" s="210">
        <f t="shared" si="19"/>
        <v>0</v>
      </c>
      <c r="G75" s="40">
        <f t="shared" si="13"/>
        <v>0</v>
      </c>
      <c r="H75" s="233"/>
      <c r="I75" s="42"/>
    </row>
    <row r="76" spans="1:9" x14ac:dyDescent="0.3">
      <c r="A76" s="1303" t="s">
        <v>197</v>
      </c>
      <c r="B76" s="1306" t="s">
        <v>131</v>
      </c>
      <c r="C76" s="364" t="s">
        <v>132</v>
      </c>
      <c r="D76" s="221"/>
      <c r="E76" s="221"/>
      <c r="F76" s="221"/>
      <c r="G76" s="69">
        <f t="shared" si="13"/>
        <v>0</v>
      </c>
      <c r="H76" s="130"/>
      <c r="I76" s="240"/>
    </row>
    <row r="77" spans="1:9" x14ac:dyDescent="0.3">
      <c r="A77" s="1303"/>
      <c r="B77" s="1306"/>
      <c r="C77" s="364" t="s">
        <v>133</v>
      </c>
      <c r="D77" s="221"/>
      <c r="E77" s="221"/>
      <c r="F77" s="221"/>
      <c r="G77" s="66">
        <f t="shared" si="13"/>
        <v>0</v>
      </c>
      <c r="H77" s="130"/>
      <c r="I77" s="240"/>
    </row>
    <row r="78" spans="1:9" x14ac:dyDescent="0.3">
      <c r="A78" s="1303"/>
      <c r="B78" s="1306"/>
      <c r="C78" s="364" t="s">
        <v>194</v>
      </c>
      <c r="D78" s="221"/>
      <c r="E78" s="221"/>
      <c r="F78" s="221"/>
      <c r="G78" s="66">
        <f t="shared" si="13"/>
        <v>0</v>
      </c>
      <c r="H78" s="130"/>
      <c r="I78" s="240"/>
    </row>
    <row r="79" spans="1:9" x14ac:dyDescent="0.3">
      <c r="A79" s="1303"/>
      <c r="B79" s="1306"/>
      <c r="C79" s="230" t="s">
        <v>134</v>
      </c>
      <c r="D79" s="44"/>
      <c r="E79" s="44"/>
      <c r="F79" s="44"/>
      <c r="G79" s="66">
        <f t="shared" si="13"/>
        <v>0</v>
      </c>
      <c r="H79" s="130"/>
      <c r="I79" s="83"/>
    </row>
    <row r="80" spans="1:9" x14ac:dyDescent="0.3">
      <c r="A80" s="1303"/>
      <c r="B80" s="1306"/>
      <c r="C80" s="230" t="s">
        <v>195</v>
      </c>
      <c r="D80" s="44"/>
      <c r="E80" s="44"/>
      <c r="F80" s="44"/>
      <c r="G80" s="66">
        <f t="shared" si="13"/>
        <v>0</v>
      </c>
      <c r="H80" s="130"/>
      <c r="I80" s="83"/>
    </row>
    <row r="81" spans="1:9" x14ac:dyDescent="0.3">
      <c r="A81" s="1303"/>
      <c r="B81" s="1462"/>
      <c r="C81" s="228" t="s">
        <v>308</v>
      </c>
      <c r="D81" s="66">
        <f>SUM(D76:D80)</f>
        <v>0</v>
      </c>
      <c r="E81" s="66">
        <f t="shared" ref="E81:F81" si="20">SUM(E76:E80)</f>
        <v>0</v>
      </c>
      <c r="F81" s="66">
        <f t="shared" si="20"/>
        <v>0</v>
      </c>
      <c r="G81" s="66">
        <f t="shared" si="13"/>
        <v>0</v>
      </c>
      <c r="H81" s="130"/>
      <c r="I81" s="83"/>
    </row>
    <row r="82" spans="1:9" ht="12" customHeight="1" x14ac:dyDescent="0.3">
      <c r="A82" s="1303"/>
      <c r="B82" s="1479" t="s">
        <v>197</v>
      </c>
      <c r="C82" s="146" t="s">
        <v>164</v>
      </c>
      <c r="D82" s="221"/>
      <c r="E82" s="221"/>
      <c r="F82" s="221"/>
      <c r="G82" s="66">
        <f t="shared" si="13"/>
        <v>0</v>
      </c>
      <c r="H82" s="130"/>
      <c r="I82" s="240"/>
    </row>
    <row r="83" spans="1:9" ht="12" customHeight="1" x14ac:dyDescent="0.3">
      <c r="A83" s="1303"/>
      <c r="B83" s="1309"/>
      <c r="C83" s="146" t="s">
        <v>191</v>
      </c>
      <c r="D83" s="44"/>
      <c r="E83" s="44"/>
      <c r="F83" s="44"/>
      <c r="G83" s="66">
        <f t="shared" si="13"/>
        <v>0</v>
      </c>
      <c r="H83" s="130"/>
      <c r="I83" s="83"/>
    </row>
    <row r="84" spans="1:9" ht="12" customHeight="1" x14ac:dyDescent="0.3">
      <c r="A84" s="1303"/>
      <c r="B84" s="1309"/>
      <c r="C84" s="146" t="s">
        <v>192</v>
      </c>
      <c r="D84" s="44"/>
      <c r="E84" s="44"/>
      <c r="F84" s="44"/>
      <c r="G84" s="66">
        <f t="shared" si="13"/>
        <v>0</v>
      </c>
      <c r="H84" s="130"/>
      <c r="I84" s="83"/>
    </row>
    <row r="85" spans="1:9" ht="12" customHeight="1" x14ac:dyDescent="0.3">
      <c r="A85" s="1303"/>
      <c r="B85" s="1309"/>
      <c r="C85" s="146" t="s">
        <v>140</v>
      </c>
      <c r="D85" s="44"/>
      <c r="E85" s="44"/>
      <c r="F85" s="44"/>
      <c r="G85" s="66">
        <f t="shared" si="13"/>
        <v>0</v>
      </c>
      <c r="H85" s="130"/>
      <c r="I85" s="83"/>
    </row>
    <row r="86" spans="1:9" ht="12" customHeight="1" x14ac:dyDescent="0.3">
      <c r="A86" s="1303"/>
      <c r="B86" s="1309"/>
      <c r="C86" s="146" t="s">
        <v>137</v>
      </c>
      <c r="D86" s="44"/>
      <c r="E86" s="44"/>
      <c r="F86" s="44"/>
      <c r="G86" s="66">
        <f t="shared" si="13"/>
        <v>0</v>
      </c>
      <c r="H86" s="130"/>
      <c r="I86" s="83"/>
    </row>
    <row r="87" spans="1:9" ht="12" customHeight="1" x14ac:dyDescent="0.3">
      <c r="A87" s="1303"/>
      <c r="B87" s="1309"/>
      <c r="C87" s="146" t="s">
        <v>141</v>
      </c>
      <c r="D87" s="44"/>
      <c r="E87" s="44"/>
      <c r="F87" s="44"/>
      <c r="G87" s="66">
        <f t="shared" si="13"/>
        <v>0</v>
      </c>
      <c r="H87" s="130"/>
      <c r="I87" s="83"/>
    </row>
    <row r="88" spans="1:9" ht="12" customHeight="1" x14ac:dyDescent="0.3">
      <c r="A88" s="1303"/>
      <c r="B88" s="1309"/>
      <c r="C88" s="146" t="s">
        <v>138</v>
      </c>
      <c r="D88" s="44"/>
      <c r="E88" s="44"/>
      <c r="F88" s="44"/>
      <c r="G88" s="66">
        <f t="shared" si="13"/>
        <v>0</v>
      </c>
      <c r="H88" s="130"/>
      <c r="I88" s="83"/>
    </row>
    <row r="89" spans="1:9" ht="12" customHeight="1" x14ac:dyDescent="0.3">
      <c r="A89" s="1303"/>
      <c r="B89" s="1309"/>
      <c r="C89" s="146" t="s">
        <v>139</v>
      </c>
      <c r="D89" s="44"/>
      <c r="E89" s="44"/>
      <c r="F89" s="44"/>
      <c r="G89" s="66">
        <f t="shared" si="13"/>
        <v>0</v>
      </c>
      <c r="H89" s="130"/>
      <c r="I89" s="83"/>
    </row>
    <row r="90" spans="1:9" ht="12" customHeight="1" x14ac:dyDescent="0.3">
      <c r="A90" s="1303"/>
      <c r="B90" s="1309"/>
      <c r="C90" s="146" t="s">
        <v>136</v>
      </c>
      <c r="D90" s="44"/>
      <c r="E90" s="44"/>
      <c r="F90" s="44"/>
      <c r="G90" s="66">
        <f t="shared" si="13"/>
        <v>0</v>
      </c>
      <c r="H90" s="130"/>
      <c r="I90" s="83"/>
    </row>
    <row r="91" spans="1:9" ht="12" customHeight="1" x14ac:dyDescent="0.3">
      <c r="A91" s="1303"/>
      <c r="B91" s="1309"/>
      <c r="C91" s="146" t="s">
        <v>135</v>
      </c>
      <c r="D91" s="44"/>
      <c r="E91" s="44"/>
      <c r="F91" s="44"/>
      <c r="G91" s="66">
        <f t="shared" si="13"/>
        <v>0</v>
      </c>
      <c r="H91" s="130"/>
      <c r="I91" s="83"/>
    </row>
    <row r="92" spans="1:9" ht="12" customHeight="1" x14ac:dyDescent="0.3">
      <c r="A92" s="1303"/>
      <c r="B92" s="1309"/>
      <c r="C92" s="146" t="s">
        <v>193</v>
      </c>
      <c r="D92" s="44"/>
      <c r="E92" s="44"/>
      <c r="F92" s="44"/>
      <c r="G92" s="66">
        <f t="shared" si="13"/>
        <v>0</v>
      </c>
      <c r="H92" s="130"/>
      <c r="I92" s="83"/>
    </row>
    <row r="93" spans="1:9" ht="12" customHeight="1" x14ac:dyDescent="0.3">
      <c r="A93" s="1303"/>
      <c r="B93" s="1309"/>
      <c r="C93" s="146" t="s">
        <v>239</v>
      </c>
      <c r="D93" s="44"/>
      <c r="E93" s="44"/>
      <c r="F93" s="44"/>
      <c r="G93" s="66">
        <f t="shared" si="13"/>
        <v>0</v>
      </c>
      <c r="H93" s="130"/>
      <c r="I93" s="83"/>
    </row>
    <row r="94" spans="1:9" ht="12" customHeight="1" x14ac:dyDescent="0.3">
      <c r="A94" s="1303"/>
      <c r="B94" s="1309"/>
      <c r="C94" s="146" t="s">
        <v>240</v>
      </c>
      <c r="D94" s="44"/>
      <c r="E94" s="44"/>
      <c r="F94" s="44"/>
      <c r="G94" s="66">
        <f t="shared" si="13"/>
        <v>0</v>
      </c>
      <c r="H94" s="130"/>
      <c r="I94" s="83"/>
    </row>
    <row r="95" spans="1:9" ht="12" customHeight="1" x14ac:dyDescent="0.3">
      <c r="A95" s="1303"/>
      <c r="B95" s="1309"/>
      <c r="C95" s="146" t="s">
        <v>241</v>
      </c>
      <c r="D95" s="44"/>
      <c r="E95" s="44"/>
      <c r="F95" s="44"/>
      <c r="G95" s="66">
        <f t="shared" si="13"/>
        <v>0</v>
      </c>
      <c r="H95" s="130"/>
      <c r="I95" s="83"/>
    </row>
    <row r="96" spans="1:9" ht="12" customHeight="1" x14ac:dyDescent="0.3">
      <c r="A96" s="1303"/>
      <c r="B96" s="1309"/>
      <c r="C96" s="146" t="s">
        <v>242</v>
      </c>
      <c r="D96" s="44"/>
      <c r="E96" s="44"/>
      <c r="F96" s="44"/>
      <c r="G96" s="66">
        <f t="shared" si="13"/>
        <v>0</v>
      </c>
      <c r="H96" s="130"/>
      <c r="I96" s="83"/>
    </row>
    <row r="97" spans="1:9" ht="12" customHeight="1" x14ac:dyDescent="0.3">
      <c r="A97" s="1303"/>
      <c r="B97" s="1309"/>
      <c r="C97" s="146" t="s">
        <v>243</v>
      </c>
      <c r="D97" s="44"/>
      <c r="E97" s="44"/>
      <c r="F97" s="44"/>
      <c r="G97" s="66">
        <f t="shared" si="13"/>
        <v>0</v>
      </c>
      <c r="H97" s="130"/>
      <c r="I97" s="83"/>
    </row>
    <row r="98" spans="1:9" ht="15.75" customHeight="1" x14ac:dyDescent="0.3">
      <c r="A98" s="1303"/>
      <c r="B98" s="1309"/>
      <c r="C98" s="146" t="s">
        <v>244</v>
      </c>
      <c r="D98" s="44"/>
      <c r="E98" s="44"/>
      <c r="F98" s="44"/>
      <c r="G98" s="66">
        <f t="shared" si="13"/>
        <v>0</v>
      </c>
      <c r="H98" s="130"/>
      <c r="I98" s="83"/>
    </row>
    <row r="99" spans="1:9" ht="15.75" customHeight="1" x14ac:dyDescent="0.3">
      <c r="A99" s="1303"/>
      <c r="B99" s="1309"/>
      <c r="C99" s="146" t="s">
        <v>245</v>
      </c>
      <c r="D99" s="44"/>
      <c r="E99" s="44"/>
      <c r="F99" s="44"/>
      <c r="G99" s="66">
        <f t="shared" si="13"/>
        <v>0</v>
      </c>
      <c r="H99" s="130"/>
      <c r="I99" s="83"/>
    </row>
    <row r="100" spans="1:9" ht="15.75" customHeight="1" x14ac:dyDescent="0.3">
      <c r="A100" s="1303"/>
      <c r="B100" s="1309"/>
      <c r="C100" s="146" t="s">
        <v>232</v>
      </c>
      <c r="D100" s="44"/>
      <c r="E100" s="44"/>
      <c r="F100" s="44"/>
      <c r="G100" s="66">
        <f t="shared" si="13"/>
        <v>0</v>
      </c>
      <c r="H100" s="130"/>
      <c r="I100" s="83"/>
    </row>
    <row r="101" spans="1:9" ht="15.75" customHeight="1" x14ac:dyDescent="0.3">
      <c r="A101" s="1303"/>
      <c r="B101" s="1309"/>
      <c r="C101" s="146" t="s">
        <v>233</v>
      </c>
      <c r="D101" s="44"/>
      <c r="E101" s="44"/>
      <c r="F101" s="44"/>
      <c r="G101" s="66">
        <f t="shared" si="13"/>
        <v>0</v>
      </c>
      <c r="H101" s="130"/>
      <c r="I101" s="83"/>
    </row>
    <row r="102" spans="1:9" ht="15.75" customHeight="1" x14ac:dyDescent="0.3">
      <c r="A102" s="1303"/>
      <c r="B102" s="1309"/>
      <c r="C102" s="146" t="s">
        <v>234</v>
      </c>
      <c r="D102" s="44"/>
      <c r="E102" s="44"/>
      <c r="F102" s="44"/>
      <c r="G102" s="66">
        <f t="shared" si="13"/>
        <v>0</v>
      </c>
      <c r="H102" s="130"/>
      <c r="I102" s="83"/>
    </row>
    <row r="103" spans="1:9" ht="15.75" customHeight="1" x14ac:dyDescent="0.3">
      <c r="A103" s="1303"/>
      <c r="B103" s="1309"/>
      <c r="C103" s="146" t="s">
        <v>235</v>
      </c>
      <c r="D103" s="44"/>
      <c r="E103" s="44"/>
      <c r="F103" s="44"/>
      <c r="G103" s="66">
        <f t="shared" si="13"/>
        <v>0</v>
      </c>
      <c r="H103" s="130"/>
      <c r="I103" s="83"/>
    </row>
    <row r="104" spans="1:9" x14ac:dyDescent="0.3">
      <c r="A104" s="1303"/>
      <c r="B104" s="1288"/>
      <c r="C104" s="217" t="s">
        <v>309</v>
      </c>
      <c r="D104" s="66">
        <f>SUM(D82:D103)</f>
        <v>0</v>
      </c>
      <c r="E104" s="66">
        <f>SUM(E82:E103)</f>
        <v>0</v>
      </c>
      <c r="F104" s="66">
        <f>SUM(F82:F103)</f>
        <v>0</v>
      </c>
      <c r="G104" s="66">
        <f t="shared" si="13"/>
        <v>0</v>
      </c>
      <c r="H104" s="130"/>
      <c r="I104" s="83"/>
    </row>
    <row r="105" spans="1:9" ht="17.25" thickBot="1" x14ac:dyDescent="0.35">
      <c r="A105" s="1304"/>
      <c r="B105" s="1374" t="s">
        <v>13</v>
      </c>
      <c r="C105" s="1374"/>
      <c r="D105" s="73">
        <f>SUM(D81,D104)</f>
        <v>0</v>
      </c>
      <c r="E105" s="73">
        <f>SUM(E81,E104)</f>
        <v>0</v>
      </c>
      <c r="F105" s="73">
        <f>SUM(F81,F104)</f>
        <v>0</v>
      </c>
      <c r="G105" s="40">
        <f t="shared" si="13"/>
        <v>0</v>
      </c>
      <c r="H105" s="659"/>
      <c r="I105" s="299"/>
    </row>
    <row r="106" spans="1:9" x14ac:dyDescent="0.3">
      <c r="A106" s="1303" t="s">
        <v>268</v>
      </c>
      <c r="B106" s="360" t="s">
        <v>5</v>
      </c>
      <c r="C106" s="219" t="s">
        <v>8</v>
      </c>
      <c r="D106" s="216"/>
      <c r="E106" s="69"/>
      <c r="F106" s="77"/>
      <c r="G106" s="36">
        <f t="shared" si="13"/>
        <v>0</v>
      </c>
      <c r="H106" s="130"/>
      <c r="I106" s="37"/>
    </row>
    <row r="107" spans="1:9" ht="17.25" thickBot="1" x14ac:dyDescent="0.35">
      <c r="A107" s="1304"/>
      <c r="B107" s="1312" t="s">
        <v>13</v>
      </c>
      <c r="C107" s="1313"/>
      <c r="D107" s="210">
        <f>D106</f>
        <v>0</v>
      </c>
      <c r="E107" s="210">
        <f t="shared" ref="E107:F107" si="21">E106</f>
        <v>0</v>
      </c>
      <c r="F107" s="210">
        <f t="shared" si="21"/>
        <v>0</v>
      </c>
      <c r="G107" s="158">
        <f t="shared" si="13"/>
        <v>0</v>
      </c>
      <c r="H107" s="238"/>
      <c r="I107" s="42"/>
    </row>
    <row r="108" spans="1:9" x14ac:dyDescent="0.3">
      <c r="A108" s="1286" t="s">
        <v>198</v>
      </c>
      <c r="B108" s="1288" t="s">
        <v>198</v>
      </c>
      <c r="C108" s="623" t="s">
        <v>65</v>
      </c>
      <c r="D108" s="211">
        <v>4327000</v>
      </c>
      <c r="E108" s="914"/>
      <c r="F108" s="214">
        <v>3060000</v>
      </c>
      <c r="G108" s="614">
        <f t="shared" si="13"/>
        <v>-1267000</v>
      </c>
      <c r="H108" s="130">
        <f t="shared" si="14"/>
        <v>-0.29281257222093832</v>
      </c>
      <c r="I108" s="39"/>
    </row>
    <row r="109" spans="1:9" x14ac:dyDescent="0.3">
      <c r="A109" s="1286"/>
      <c r="B109" s="1289"/>
      <c r="C109" s="624" t="s">
        <v>38</v>
      </c>
      <c r="D109" s="212"/>
      <c r="E109" s="44"/>
      <c r="F109" s="77"/>
      <c r="G109" s="35">
        <f t="shared" si="13"/>
        <v>0</v>
      </c>
      <c r="H109" s="130"/>
      <c r="I109" s="37"/>
    </row>
    <row r="110" spans="1:9" ht="17.25" thickBot="1" x14ac:dyDescent="0.35">
      <c r="A110" s="1461"/>
      <c r="B110" s="1321" t="s">
        <v>13</v>
      </c>
      <c r="C110" s="1322"/>
      <c r="D110" s="301">
        <f>SUM(D108:D109)</f>
        <v>4327000</v>
      </c>
      <c r="E110" s="301">
        <f t="shared" ref="E110:F110" si="22">SUM(E108:E109)</f>
        <v>0</v>
      </c>
      <c r="F110" s="301">
        <f t="shared" si="22"/>
        <v>3060000</v>
      </c>
      <c r="G110" s="926">
        <f t="shared" si="13"/>
        <v>-1267000</v>
      </c>
      <c r="H110" s="233">
        <f t="shared" si="14"/>
        <v>-0.29281257222093832</v>
      </c>
      <c r="I110" s="42"/>
    </row>
    <row r="111" spans="1:9" ht="17.25" thickBot="1" x14ac:dyDescent="0.35">
      <c r="A111" s="673" t="s">
        <v>43</v>
      </c>
      <c r="B111" s="674" t="s">
        <v>43</v>
      </c>
      <c r="C111" s="675" t="s">
        <v>68</v>
      </c>
      <c r="D111" s="666"/>
      <c r="E111" s="667"/>
      <c r="F111" s="668"/>
      <c r="G111" s="646">
        <f t="shared" si="13"/>
        <v>0</v>
      </c>
      <c r="H111" s="647"/>
      <c r="I111" s="648"/>
    </row>
    <row r="112" spans="1:9" ht="17.25" thickBot="1" x14ac:dyDescent="0.35">
      <c r="A112" s="1391" t="s">
        <v>41</v>
      </c>
      <c r="B112" s="1392"/>
      <c r="C112" s="1393"/>
      <c r="D112" s="302">
        <f>SUM(D71,D75,D105,D107,D110,D111)</f>
        <v>7481000</v>
      </c>
      <c r="E112" s="302">
        <f>SUM(E71,E75,E105,E107,E110,E111)</f>
        <v>0</v>
      </c>
      <c r="F112" s="302">
        <f>SUM(F71,F75,F105,F107,F110,F111)</f>
        <v>3060000</v>
      </c>
      <c r="G112" s="302">
        <f t="shared" si="13"/>
        <v>-4421000</v>
      </c>
      <c r="H112" s="523">
        <f t="shared" si="14"/>
        <v>-0.59096377489640417</v>
      </c>
      <c r="I112" s="78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115"/>
  <sheetViews>
    <sheetView topLeftCell="A34" zoomScale="85" zoomScaleNormal="85" workbookViewId="0">
      <selection activeCell="M48" sqref="M48"/>
    </sheetView>
  </sheetViews>
  <sheetFormatPr defaultRowHeight="16.5" x14ac:dyDescent="0.3"/>
  <cols>
    <col min="1" max="1" width="16.25" customWidth="1"/>
    <col min="2" max="2" width="16.75" customWidth="1"/>
    <col min="3" max="3" width="19.125" customWidth="1"/>
    <col min="4" max="4" width="16.25" customWidth="1"/>
    <col min="5" max="5" width="17" customWidth="1"/>
    <col min="6" max="6" width="17.625" customWidth="1"/>
    <col min="7" max="7" width="14.75" customWidth="1"/>
    <col min="8" max="8" width="8.75" customWidth="1"/>
    <col min="9" max="9" width="38.625" customWidth="1"/>
  </cols>
  <sheetData>
    <row r="1" spans="1:9" x14ac:dyDescent="0.3">
      <c r="A1" s="1227"/>
      <c r="B1" s="1227"/>
      <c r="C1" s="1227"/>
      <c r="D1" s="1227"/>
      <c r="E1" s="1227"/>
      <c r="F1" s="1227"/>
      <c r="G1" s="1227"/>
      <c r="H1" s="1227"/>
      <c r="I1" s="1227"/>
    </row>
    <row r="2" spans="1:9" ht="48" customHeight="1" x14ac:dyDescent="0.3">
      <c r="A2" s="1464" t="s">
        <v>451</v>
      </c>
      <c r="B2" s="1465"/>
      <c r="C2" s="1465"/>
      <c r="D2" s="1465"/>
      <c r="E2" s="1465"/>
      <c r="F2" s="1465"/>
      <c r="G2" s="1465"/>
      <c r="H2" s="1465"/>
      <c r="I2" s="1465"/>
    </row>
    <row r="3" spans="1:9" ht="17.45" customHeight="1" x14ac:dyDescent="0.3">
      <c r="A3" s="1435" t="s">
        <v>702</v>
      </c>
      <c r="B3" s="1435"/>
      <c r="C3" s="1435"/>
      <c r="D3" s="1435"/>
      <c r="E3" s="1435"/>
      <c r="F3" s="1435"/>
      <c r="G3" s="1435"/>
      <c r="H3" s="1435"/>
      <c r="I3" s="1435"/>
    </row>
    <row r="4" spans="1:9" ht="17.45" customHeight="1" x14ac:dyDescent="0.3">
      <c r="A4" s="1435"/>
      <c r="B4" s="1435"/>
      <c r="C4" s="1435"/>
      <c r="D4" s="1435"/>
      <c r="E4" s="1435"/>
      <c r="F4" s="1435"/>
      <c r="G4" s="1435"/>
      <c r="H4" s="1435"/>
      <c r="I4" s="1435"/>
    </row>
    <row r="5" spans="1:9" ht="17.25" thickBot="1" x14ac:dyDescent="0.35">
      <c r="A5" s="1466" t="s">
        <v>719</v>
      </c>
      <c r="B5" s="1466"/>
      <c r="C5" s="1466"/>
      <c r="D5" s="1466"/>
      <c r="E5" s="1466"/>
      <c r="F5" s="1466"/>
      <c r="G5" s="1466"/>
      <c r="H5" s="1466"/>
      <c r="I5" s="1466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394</v>
      </c>
      <c r="F6" s="1273" t="s">
        <v>318</v>
      </c>
      <c r="G6" s="1273" t="s">
        <v>59</v>
      </c>
      <c r="H6" s="127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276"/>
      <c r="I7" s="1278"/>
    </row>
    <row r="8" spans="1:9" ht="14.25" customHeight="1" x14ac:dyDescent="0.3">
      <c r="A8" s="1370" t="s">
        <v>165</v>
      </c>
      <c r="B8" s="1308" t="s">
        <v>166</v>
      </c>
      <c r="C8" s="1106" t="s">
        <v>147</v>
      </c>
      <c r="D8" s="236"/>
      <c r="E8" s="236"/>
      <c r="F8" s="236"/>
      <c r="G8" s="243"/>
      <c r="H8" s="499"/>
      <c r="I8" s="293"/>
    </row>
    <row r="9" spans="1:9" ht="14.25" customHeight="1" x14ac:dyDescent="0.3">
      <c r="A9" s="1364"/>
      <c r="B9" s="1309"/>
      <c r="C9" s="1108" t="s">
        <v>150</v>
      </c>
      <c r="D9" s="525">
        <v>55000000</v>
      </c>
      <c r="E9" s="525">
        <v>35980520</v>
      </c>
      <c r="F9" s="525">
        <v>55000000</v>
      </c>
      <c r="G9" s="1088">
        <f>F9-D9</f>
        <v>0</v>
      </c>
      <c r="H9" s="502">
        <f t="shared" ref="H9:H45" si="0">G9/D9*100%</f>
        <v>0</v>
      </c>
      <c r="I9" s="527"/>
    </row>
    <row r="10" spans="1:9" ht="14.25" customHeight="1" x14ac:dyDescent="0.3">
      <c r="A10" s="1364"/>
      <c r="B10" s="1309"/>
      <c r="C10" s="1108" t="s">
        <v>151</v>
      </c>
      <c r="D10" s="528"/>
      <c r="E10" s="528"/>
      <c r="F10" s="528"/>
      <c r="G10" s="526"/>
      <c r="H10" s="502"/>
      <c r="I10" s="529"/>
    </row>
    <row r="11" spans="1:9" ht="14.25" customHeight="1" x14ac:dyDescent="0.3">
      <c r="A11" s="1364"/>
      <c r="B11" s="1309"/>
      <c r="C11" s="1108" t="s">
        <v>152</v>
      </c>
      <c r="D11" s="528"/>
      <c r="E11" s="528"/>
      <c r="F11" s="528"/>
      <c r="G11" s="526"/>
      <c r="H11" s="502"/>
      <c r="I11" s="529"/>
    </row>
    <row r="12" spans="1:9" ht="14.25" customHeight="1" x14ac:dyDescent="0.3">
      <c r="A12" s="1364"/>
      <c r="B12" s="1288"/>
      <c r="C12" s="1108" t="s">
        <v>153</v>
      </c>
      <c r="D12" s="528"/>
      <c r="E12" s="528"/>
      <c r="F12" s="528"/>
      <c r="G12" s="526"/>
      <c r="H12" s="502"/>
      <c r="I12" s="529"/>
    </row>
    <row r="13" spans="1:9" ht="17.25" thickBot="1" x14ac:dyDescent="0.35">
      <c r="A13" s="1365"/>
      <c r="B13" s="1311" t="s">
        <v>668</v>
      </c>
      <c r="C13" s="1311"/>
      <c r="D13" s="530">
        <f>SUM(D8:D12)</f>
        <v>55000000</v>
      </c>
      <c r="E13" s="530">
        <f t="shared" ref="E13" si="1">SUM(E8:E12)</f>
        <v>35980520</v>
      </c>
      <c r="F13" s="530">
        <f>SUM(F8:F12)</f>
        <v>55000000</v>
      </c>
      <c r="G13" s="1069">
        <f>F13-D13</f>
        <v>0</v>
      </c>
      <c r="H13" s="531">
        <f t="shared" si="0"/>
        <v>0</v>
      </c>
      <c r="I13" s="532"/>
    </row>
    <row r="14" spans="1:9" ht="12.75" customHeight="1" x14ac:dyDescent="0.3">
      <c r="A14" s="1401" t="s">
        <v>157</v>
      </c>
      <c r="B14" s="1308" t="s">
        <v>157</v>
      </c>
      <c r="C14" s="1106" t="s">
        <v>142</v>
      </c>
      <c r="D14" s="236"/>
      <c r="E14" s="236"/>
      <c r="F14" s="236"/>
      <c r="G14" s="243"/>
      <c r="H14" s="499"/>
      <c r="I14" s="296"/>
    </row>
    <row r="15" spans="1:9" ht="12.75" customHeight="1" x14ac:dyDescent="0.3">
      <c r="A15" s="1401"/>
      <c r="B15" s="1309"/>
      <c r="C15" s="1108" t="s">
        <v>143</v>
      </c>
      <c r="D15" s="231"/>
      <c r="E15" s="231"/>
      <c r="F15" s="231"/>
      <c r="G15" s="243"/>
      <c r="H15" s="499"/>
      <c r="I15" s="297"/>
    </row>
    <row r="16" spans="1:9" ht="12.75" customHeight="1" x14ac:dyDescent="0.3">
      <c r="A16" s="1401"/>
      <c r="B16" s="1309"/>
      <c r="C16" s="1108" t="s">
        <v>144</v>
      </c>
      <c r="D16" s="231"/>
      <c r="E16" s="231"/>
      <c r="F16" s="231"/>
      <c r="G16" s="243"/>
      <c r="H16" s="499"/>
      <c r="I16" s="297"/>
    </row>
    <row r="17" spans="1:9" ht="12.75" customHeight="1" x14ac:dyDescent="0.3">
      <c r="A17" s="1401"/>
      <c r="B17" s="1309"/>
      <c r="C17" s="1108" t="s">
        <v>145</v>
      </c>
      <c r="D17" s="231"/>
      <c r="E17" s="231"/>
      <c r="F17" s="231"/>
      <c r="G17" s="243"/>
      <c r="H17" s="499"/>
      <c r="I17" s="297"/>
    </row>
    <row r="18" spans="1:9" ht="12.75" customHeight="1" x14ac:dyDescent="0.3">
      <c r="A18" s="1401"/>
      <c r="B18" s="1309"/>
      <c r="C18" s="1107" t="s">
        <v>146</v>
      </c>
      <c r="D18" s="231"/>
      <c r="E18" s="231"/>
      <c r="F18" s="231"/>
      <c r="G18" s="243"/>
      <c r="H18" s="499"/>
      <c r="I18" s="294"/>
    </row>
    <row r="19" spans="1:9" ht="12.75" customHeight="1" x14ac:dyDescent="0.3">
      <c r="A19" s="1401"/>
      <c r="B19" s="1309"/>
      <c r="C19" s="943" t="s">
        <v>148</v>
      </c>
      <c r="D19" s="231"/>
      <c r="E19" s="231"/>
      <c r="F19" s="231"/>
      <c r="G19" s="243"/>
      <c r="H19" s="499"/>
      <c r="I19" s="294"/>
    </row>
    <row r="20" spans="1:9" ht="12.75" customHeight="1" x14ac:dyDescent="0.3">
      <c r="A20" s="1401"/>
      <c r="B20" s="1309"/>
      <c r="C20" s="943" t="s">
        <v>149</v>
      </c>
      <c r="D20" s="231"/>
      <c r="E20" s="231"/>
      <c r="F20" s="231"/>
      <c r="G20" s="243"/>
      <c r="H20" s="499"/>
      <c r="I20" s="294"/>
    </row>
    <row r="21" spans="1:9" ht="12.75" customHeight="1" x14ac:dyDescent="0.3">
      <c r="A21" s="1401"/>
      <c r="B21" s="1288"/>
      <c r="C21" s="226" t="s">
        <v>167</v>
      </c>
      <c r="D21" s="65"/>
      <c r="E21" s="65"/>
      <c r="F21" s="35"/>
      <c r="G21" s="36"/>
      <c r="H21" s="499"/>
      <c r="I21" s="37"/>
    </row>
    <row r="22" spans="1:9" ht="18" thickBot="1" x14ac:dyDescent="0.35">
      <c r="A22" s="1460"/>
      <c r="B22" s="1311" t="s">
        <v>668</v>
      </c>
      <c r="C22" s="1311"/>
      <c r="D22" s="40"/>
      <c r="E22" s="40"/>
      <c r="F22" s="40"/>
      <c r="G22" s="133"/>
      <c r="H22" s="517"/>
      <c r="I22" s="41"/>
    </row>
    <row r="23" spans="1:9" ht="18.75" customHeight="1" x14ac:dyDescent="0.3">
      <c r="A23" s="1371" t="s">
        <v>159</v>
      </c>
      <c r="B23" s="1308" t="s">
        <v>159</v>
      </c>
      <c r="C23" s="1106" t="s">
        <v>113</v>
      </c>
      <c r="D23" s="70"/>
      <c r="E23" s="70"/>
      <c r="F23" s="71"/>
      <c r="G23" s="160"/>
      <c r="H23" s="499"/>
      <c r="I23" s="79"/>
    </row>
    <row r="24" spans="1:9" ht="18.75" customHeight="1" x14ac:dyDescent="0.3">
      <c r="A24" s="1372"/>
      <c r="B24" s="1309"/>
      <c r="C24" s="1108" t="s">
        <v>63</v>
      </c>
      <c r="D24" s="44"/>
      <c r="E24" s="44"/>
      <c r="F24" s="66"/>
      <c r="G24" s="161"/>
      <c r="H24" s="499"/>
      <c r="I24" s="80"/>
    </row>
    <row r="25" spans="1:9" ht="18.75" customHeight="1" x14ac:dyDescent="0.3">
      <c r="A25" s="1372"/>
      <c r="B25" s="1309"/>
      <c r="C25" s="1108" t="s">
        <v>30</v>
      </c>
      <c r="D25" s="44"/>
      <c r="E25" s="44"/>
      <c r="F25" s="66"/>
      <c r="G25" s="161"/>
      <c r="H25" s="499"/>
      <c r="I25" s="80"/>
    </row>
    <row r="26" spans="1:9" ht="18.75" customHeight="1" x14ac:dyDescent="0.3">
      <c r="A26" s="1372"/>
      <c r="B26" s="1288"/>
      <c r="C26" s="1108" t="s">
        <v>64</v>
      </c>
      <c r="D26" s="44"/>
      <c r="E26" s="44"/>
      <c r="F26" s="66"/>
      <c r="G26" s="161"/>
      <c r="H26" s="499"/>
      <c r="I26" s="80"/>
    </row>
    <row r="27" spans="1:9" ht="18" thickBot="1" x14ac:dyDescent="0.35">
      <c r="A27" s="1373"/>
      <c r="B27" s="1311" t="s">
        <v>668</v>
      </c>
      <c r="C27" s="1311"/>
      <c r="D27" s="73"/>
      <c r="E27" s="73"/>
      <c r="F27" s="73"/>
      <c r="G27" s="162"/>
      <c r="H27" s="516"/>
      <c r="I27" s="81"/>
    </row>
    <row r="28" spans="1:9" ht="18.75" customHeight="1" x14ac:dyDescent="0.3">
      <c r="A28" s="1325" t="s">
        <v>161</v>
      </c>
      <c r="B28" s="1323" t="s">
        <v>161</v>
      </c>
      <c r="C28" s="149" t="s">
        <v>6</v>
      </c>
      <c r="D28" s="69"/>
      <c r="E28" s="69"/>
      <c r="F28" s="69"/>
      <c r="G28" s="36"/>
      <c r="H28" s="499"/>
      <c r="I28" s="82"/>
    </row>
    <row r="29" spans="1:9" ht="18.75" customHeight="1" x14ac:dyDescent="0.3">
      <c r="A29" s="1326"/>
      <c r="B29" s="1289"/>
      <c r="C29" s="942" t="s">
        <v>7</v>
      </c>
      <c r="D29" s="65"/>
      <c r="E29" s="65"/>
      <c r="F29" s="36"/>
      <c r="G29" s="36"/>
      <c r="H29" s="499"/>
      <c r="I29" s="37"/>
    </row>
    <row r="30" spans="1:9" ht="18" thickBot="1" x14ac:dyDescent="0.35">
      <c r="A30" s="1327"/>
      <c r="B30" s="1311" t="s">
        <v>668</v>
      </c>
      <c r="C30" s="1311"/>
      <c r="D30" s="67"/>
      <c r="E30" s="67"/>
      <c r="F30" s="292"/>
      <c r="G30" s="292"/>
      <c r="H30" s="517"/>
      <c r="I30" s="42"/>
    </row>
    <row r="31" spans="1:9" ht="18.75" customHeight="1" x14ac:dyDescent="0.3">
      <c r="A31" s="1370" t="s">
        <v>163</v>
      </c>
      <c r="B31" s="1308" t="s">
        <v>163</v>
      </c>
      <c r="C31" s="1106" t="s">
        <v>154</v>
      </c>
      <c r="D31" s="71">
        <v>877976000</v>
      </c>
      <c r="E31" s="71">
        <v>707202720</v>
      </c>
      <c r="F31" s="71">
        <v>877976000</v>
      </c>
      <c r="G31" s="885">
        <f>F31-D31</f>
        <v>0</v>
      </c>
      <c r="H31" s="499">
        <f t="shared" si="0"/>
        <v>0</v>
      </c>
      <c r="I31" s="515"/>
    </row>
    <row r="32" spans="1:9" ht="19.5" customHeight="1" x14ac:dyDescent="0.3">
      <c r="A32" s="1364"/>
      <c r="B32" s="1288"/>
      <c r="C32" s="1108" t="s">
        <v>155</v>
      </c>
      <c r="D32" s="884">
        <v>82224000</v>
      </c>
      <c r="E32" s="884">
        <v>57303710</v>
      </c>
      <c r="F32" s="884">
        <v>82224000</v>
      </c>
      <c r="G32" s="885">
        <f t="shared" ref="G32:G33" si="2">F32-D32</f>
        <v>0</v>
      </c>
      <c r="H32" s="499">
        <f t="shared" si="0"/>
        <v>0</v>
      </c>
      <c r="I32" s="514"/>
    </row>
    <row r="33" spans="1:9" ht="18" thickBot="1" x14ac:dyDescent="0.35">
      <c r="A33" s="1365"/>
      <c r="B33" s="1311" t="s">
        <v>668</v>
      </c>
      <c r="C33" s="1311"/>
      <c r="D33" s="519">
        <f>SUM(D31:D32)</f>
        <v>960200000</v>
      </c>
      <c r="E33" s="519">
        <f t="shared" ref="E33" si="3">SUM(E31:E32)</f>
        <v>764506430</v>
      </c>
      <c r="F33" s="887">
        <f>SUM(F31:F32)</f>
        <v>960200000</v>
      </c>
      <c r="G33" s="1127">
        <f t="shared" si="2"/>
        <v>0</v>
      </c>
      <c r="H33" s="521">
        <f t="shared" si="0"/>
        <v>0</v>
      </c>
      <c r="I33" s="81"/>
    </row>
    <row r="34" spans="1:9" ht="18" customHeight="1" x14ac:dyDescent="0.3">
      <c r="A34" s="1110"/>
      <c r="B34" s="1308" t="s">
        <v>107</v>
      </c>
      <c r="C34" s="1106" t="s">
        <v>183</v>
      </c>
      <c r="D34" s="69"/>
      <c r="E34" s="69"/>
      <c r="F34" s="69"/>
      <c r="G34" s="71"/>
      <c r="H34" s="499"/>
      <c r="I34" s="240"/>
    </row>
    <row r="35" spans="1:9" ht="18" customHeight="1" x14ac:dyDescent="0.3">
      <c r="A35" s="1110"/>
      <c r="B35" s="1309"/>
      <c r="C35" s="943" t="s">
        <v>184</v>
      </c>
      <c r="D35" s="69"/>
      <c r="E35" s="69"/>
      <c r="F35" s="69"/>
      <c r="G35" s="69"/>
      <c r="H35" s="499"/>
      <c r="I35" s="240"/>
    </row>
    <row r="36" spans="1:9" ht="18" customHeight="1" x14ac:dyDescent="0.3">
      <c r="A36" s="1303" t="s">
        <v>4</v>
      </c>
      <c r="B36" s="1288"/>
      <c r="C36" s="943" t="s">
        <v>356</v>
      </c>
      <c r="D36" s="66"/>
      <c r="E36" s="66"/>
      <c r="F36" s="44"/>
      <c r="G36" s="69"/>
      <c r="H36" s="499"/>
      <c r="I36" s="83"/>
    </row>
    <row r="37" spans="1:9" ht="18" thickBot="1" x14ac:dyDescent="0.35">
      <c r="A37" s="1304"/>
      <c r="B37" s="1311" t="s">
        <v>668</v>
      </c>
      <c r="C37" s="1311"/>
      <c r="D37" s="241"/>
      <c r="E37" s="241"/>
      <c r="F37" s="241"/>
      <c r="G37" s="158"/>
      <c r="H37" s="517"/>
      <c r="I37" s="42"/>
    </row>
    <row r="38" spans="1:9" ht="19.5" customHeight="1" x14ac:dyDescent="0.3">
      <c r="A38" s="1302" t="s">
        <v>170</v>
      </c>
      <c r="B38" s="1308" t="s">
        <v>170</v>
      </c>
      <c r="C38" s="149" t="s">
        <v>9</v>
      </c>
      <c r="D38" s="68">
        <v>81697810</v>
      </c>
      <c r="E38" s="68">
        <v>81697810</v>
      </c>
      <c r="F38" s="68">
        <v>81697810</v>
      </c>
      <c r="G38" s="36">
        <f>F38-D38</f>
        <v>0</v>
      </c>
      <c r="H38" s="499">
        <f t="shared" si="0"/>
        <v>0</v>
      </c>
      <c r="I38" s="518"/>
    </row>
    <row r="39" spans="1:9" ht="19.5" customHeight="1" x14ac:dyDescent="0.3">
      <c r="A39" s="1303"/>
      <c r="B39" s="1288"/>
      <c r="C39" s="943" t="s">
        <v>174</v>
      </c>
      <c r="D39" s="75"/>
      <c r="E39" s="75"/>
      <c r="F39" s="75"/>
      <c r="G39" s="36"/>
      <c r="H39" s="499"/>
      <c r="I39" s="239"/>
    </row>
    <row r="40" spans="1:9" ht="18" thickBot="1" x14ac:dyDescent="0.35">
      <c r="A40" s="1304"/>
      <c r="B40" s="1311" t="s">
        <v>668</v>
      </c>
      <c r="C40" s="1311"/>
      <c r="D40" s="519">
        <f>SUM(D38:D39)</f>
        <v>81697810</v>
      </c>
      <c r="E40" s="519">
        <f t="shared" ref="E40" si="4">SUM(E38:E39)</f>
        <v>81697810</v>
      </c>
      <c r="F40" s="887">
        <f>SUM(F38:F39)</f>
        <v>81697810</v>
      </c>
      <c r="G40" s="520">
        <f>F40-D40</f>
        <v>0</v>
      </c>
      <c r="H40" s="522">
        <f t="shared" si="0"/>
        <v>0</v>
      </c>
      <c r="I40" s="81"/>
    </row>
    <row r="41" spans="1:9" ht="15.75" customHeight="1" x14ac:dyDescent="0.3">
      <c r="A41" s="1456" t="s">
        <v>172</v>
      </c>
      <c r="B41" s="1323" t="s">
        <v>172</v>
      </c>
      <c r="C41" s="1106" t="s">
        <v>343</v>
      </c>
      <c r="D41" s="71"/>
      <c r="E41" s="71"/>
      <c r="F41" s="70"/>
      <c r="G41" s="583">
        <f t="shared" ref="G41:G49" si="5">F41-D41</f>
        <v>0</v>
      </c>
      <c r="H41" s="500"/>
      <c r="I41" s="514"/>
    </row>
    <row r="42" spans="1:9" ht="15.75" customHeight="1" x14ac:dyDescent="0.3">
      <c r="A42" s="1457"/>
      <c r="B42" s="1289"/>
      <c r="C42" s="1108" t="s">
        <v>173</v>
      </c>
      <c r="D42" s="885">
        <v>202190</v>
      </c>
      <c r="E42" s="885">
        <v>30628</v>
      </c>
      <c r="F42" s="885">
        <v>202190</v>
      </c>
      <c r="G42" s="36">
        <f>F42-D42</f>
        <v>0</v>
      </c>
      <c r="H42" s="499">
        <f t="shared" si="0"/>
        <v>0</v>
      </c>
      <c r="I42" s="514"/>
    </row>
    <row r="43" spans="1:9" ht="15.75" customHeight="1" x14ac:dyDescent="0.3">
      <c r="A43" s="1457"/>
      <c r="B43" s="1289"/>
      <c r="C43" s="1108" t="s">
        <v>175</v>
      </c>
      <c r="D43" s="884"/>
      <c r="E43" s="884"/>
      <c r="F43" s="884"/>
      <c r="G43" s="36"/>
      <c r="H43" s="499"/>
      <c r="I43" s="83"/>
    </row>
    <row r="44" spans="1:9" ht="15.75" customHeight="1" x14ac:dyDescent="0.3">
      <c r="A44" s="1457"/>
      <c r="B44" s="1289"/>
      <c r="C44" s="226" t="s">
        <v>10</v>
      </c>
      <c r="D44" s="884">
        <v>3000000</v>
      </c>
      <c r="E44" s="884"/>
      <c r="F44" s="884">
        <v>3000000</v>
      </c>
      <c r="G44" s="36">
        <f>F44-D44</f>
        <v>0</v>
      </c>
      <c r="H44" s="499">
        <f t="shared" si="0"/>
        <v>0</v>
      </c>
      <c r="I44" s="514"/>
    </row>
    <row r="45" spans="1:9" ht="18" thickBot="1" x14ac:dyDescent="0.35">
      <c r="A45" s="1458"/>
      <c r="B45" s="1311" t="s">
        <v>668</v>
      </c>
      <c r="C45" s="1311"/>
      <c r="D45" s="519">
        <f>SUM(D41:D44)</f>
        <v>3202190</v>
      </c>
      <c r="E45" s="519">
        <f t="shared" ref="E45" si="6">SUM(E41:E44)</f>
        <v>30628</v>
      </c>
      <c r="F45" s="887">
        <f>SUM(F41:F44)</f>
        <v>3202190</v>
      </c>
      <c r="G45" s="520">
        <f>F45-D45</f>
        <v>0</v>
      </c>
      <c r="H45" s="521">
        <f t="shared" si="0"/>
        <v>0</v>
      </c>
      <c r="I45" s="81"/>
    </row>
    <row r="46" spans="1:9" ht="16.5" customHeight="1" x14ac:dyDescent="0.3">
      <c r="A46" s="1325" t="s">
        <v>176</v>
      </c>
      <c r="B46" s="1323" t="s">
        <v>177</v>
      </c>
      <c r="C46" s="1106" t="s">
        <v>178</v>
      </c>
      <c r="D46" s="69"/>
      <c r="E46" s="69"/>
      <c r="F46" s="221"/>
      <c r="G46" s="459"/>
      <c r="H46" s="499"/>
      <c r="I46" s="240"/>
    </row>
    <row r="47" spans="1:9" ht="16.5" customHeight="1" x14ac:dyDescent="0.3">
      <c r="A47" s="1326"/>
      <c r="B47" s="1289"/>
      <c r="C47" s="1108" t="s">
        <v>179</v>
      </c>
      <c r="D47" s="66"/>
      <c r="E47" s="66"/>
      <c r="F47" s="44"/>
      <c r="G47" s="459"/>
      <c r="H47" s="829"/>
      <c r="I47" s="83"/>
    </row>
    <row r="48" spans="1:9" ht="18" thickBot="1" x14ac:dyDescent="0.35">
      <c r="A48" s="1459"/>
      <c r="B48" s="1311" t="s">
        <v>668</v>
      </c>
      <c r="C48" s="1311"/>
      <c r="D48" s="131"/>
      <c r="E48" s="131"/>
      <c r="F48" s="131"/>
      <c r="G48" s="133"/>
      <c r="H48" s="522"/>
      <c r="I48" s="135"/>
    </row>
    <row r="49" spans="1:9" ht="17.25" thickBot="1" x14ac:dyDescent="0.35">
      <c r="A49" s="1391" t="s">
        <v>41</v>
      </c>
      <c r="B49" s="1392"/>
      <c r="C49" s="1393"/>
      <c r="D49" s="302">
        <f>SUM(D13,D22,D27,D30,D33,D37,D40,D45,D48)</f>
        <v>1100100000</v>
      </c>
      <c r="E49" s="302">
        <f t="shared" ref="E49:F49" si="7">SUM(E13,E22,E27,E30,E33,E37,E40,E45,E48)</f>
        <v>882215388</v>
      </c>
      <c r="F49" s="302">
        <f t="shared" si="7"/>
        <v>1100100000</v>
      </c>
      <c r="G49" s="302">
        <f t="shared" si="5"/>
        <v>0</v>
      </c>
      <c r="H49" s="523">
        <f>G49/D49*100%</f>
        <v>0</v>
      </c>
      <c r="I49" s="524"/>
    </row>
    <row r="50" spans="1:9" ht="21" thickBot="1" x14ac:dyDescent="0.35">
      <c r="A50" s="1444" t="s">
        <v>620</v>
      </c>
      <c r="B50" s="1445"/>
      <c r="C50" s="1445"/>
      <c r="D50" s="1445"/>
      <c r="E50" s="1445"/>
      <c r="F50" s="1445"/>
      <c r="G50" s="1445"/>
      <c r="H50" s="1445"/>
      <c r="I50" s="1445"/>
    </row>
    <row r="51" spans="1:9" ht="17.45" customHeight="1" x14ac:dyDescent="0.3">
      <c r="A51" s="1314" t="s">
        <v>29</v>
      </c>
      <c r="B51" s="1315"/>
      <c r="C51" s="1315"/>
      <c r="D51" s="1273" t="s">
        <v>237</v>
      </c>
      <c r="E51" s="1273" t="s">
        <v>400</v>
      </c>
      <c r="F51" s="1273" t="s">
        <v>319</v>
      </c>
      <c r="G51" s="1273" t="s">
        <v>59</v>
      </c>
      <c r="H51" s="1275" t="s">
        <v>49</v>
      </c>
      <c r="I51" s="1277" t="s">
        <v>61</v>
      </c>
    </row>
    <row r="52" spans="1:9" ht="18" customHeight="1" thickBot="1" x14ac:dyDescent="0.35">
      <c r="A52" s="84" t="s">
        <v>0</v>
      </c>
      <c r="B52" s="136" t="s">
        <v>1</v>
      </c>
      <c r="C52" s="136" t="s">
        <v>2</v>
      </c>
      <c r="D52" s="1274"/>
      <c r="E52" s="1274"/>
      <c r="F52" s="1274"/>
      <c r="G52" s="1274"/>
      <c r="H52" s="1494"/>
      <c r="I52" s="1278"/>
    </row>
    <row r="53" spans="1:9" ht="18" customHeight="1" x14ac:dyDescent="0.3">
      <c r="A53" s="1495" t="s">
        <v>185</v>
      </c>
      <c r="B53" s="1323" t="s">
        <v>186</v>
      </c>
      <c r="C53" s="536" t="s">
        <v>17</v>
      </c>
      <c r="D53" s="70">
        <v>636634000</v>
      </c>
      <c r="E53" s="70">
        <v>492381520</v>
      </c>
      <c r="F53" s="70">
        <v>636634000</v>
      </c>
      <c r="G53" s="543">
        <f>F53-D53</f>
        <v>0</v>
      </c>
      <c r="H53" s="453">
        <f>G53/D53*100%</f>
        <v>0</v>
      </c>
      <c r="I53" s="537"/>
    </row>
    <row r="54" spans="1:9" x14ac:dyDescent="0.3">
      <c r="A54" s="1401"/>
      <c r="B54" s="1289"/>
      <c r="C54" s="150" t="s">
        <v>32</v>
      </c>
      <c r="D54" s="44">
        <v>150200000</v>
      </c>
      <c r="E54" s="44">
        <v>138384440</v>
      </c>
      <c r="F54" s="44">
        <v>150200000</v>
      </c>
      <c r="G54" s="884">
        <f t="shared" ref="G54:G59" si="8">F54-D54</f>
        <v>0</v>
      </c>
      <c r="H54" s="1055">
        <f t="shared" ref="H54:H72" si="9">G54/D54*100%</f>
        <v>0</v>
      </c>
      <c r="I54" s="533"/>
    </row>
    <row r="55" spans="1:9" x14ac:dyDescent="0.3">
      <c r="A55" s="1401"/>
      <c r="B55" s="1289"/>
      <c r="C55" s="150" t="s">
        <v>180</v>
      </c>
      <c r="D55" s="884"/>
      <c r="E55" s="884"/>
      <c r="F55" s="884"/>
      <c r="G55" s="884">
        <f t="shared" si="8"/>
        <v>0</v>
      </c>
      <c r="H55" s="1055"/>
      <c r="I55" s="37"/>
    </row>
    <row r="56" spans="1:9" ht="19.5" customHeight="1" x14ac:dyDescent="0.3">
      <c r="A56" s="1401"/>
      <c r="B56" s="1289"/>
      <c r="C56" s="150" t="s">
        <v>84</v>
      </c>
      <c r="D56" s="44">
        <v>58900000</v>
      </c>
      <c r="E56" s="44">
        <v>48116650</v>
      </c>
      <c r="F56" s="44">
        <v>58900000</v>
      </c>
      <c r="G56" s="884">
        <f t="shared" si="8"/>
        <v>0</v>
      </c>
      <c r="H56" s="1055">
        <f t="shared" si="9"/>
        <v>0</v>
      </c>
      <c r="I56" s="534"/>
    </row>
    <row r="57" spans="1:9" ht="20.25" customHeight="1" x14ac:dyDescent="0.3">
      <c r="A57" s="1401"/>
      <c r="B57" s="1289"/>
      <c r="C57" s="150" t="s">
        <v>33</v>
      </c>
      <c r="D57" s="44">
        <v>63100000</v>
      </c>
      <c r="E57" s="44">
        <v>59206720</v>
      </c>
      <c r="F57" s="44">
        <v>63100000</v>
      </c>
      <c r="G57" s="884">
        <f t="shared" si="8"/>
        <v>0</v>
      </c>
      <c r="H57" s="1055">
        <f t="shared" si="9"/>
        <v>0</v>
      </c>
      <c r="I57" s="534"/>
    </row>
    <row r="58" spans="1:9" ht="26.25" customHeight="1" x14ac:dyDescent="0.3">
      <c r="A58" s="1401"/>
      <c r="B58" s="1289"/>
      <c r="C58" s="150" t="s">
        <v>18</v>
      </c>
      <c r="D58" s="44">
        <v>46000000</v>
      </c>
      <c r="E58" s="44">
        <v>3977800</v>
      </c>
      <c r="F58" s="44">
        <v>46000000</v>
      </c>
      <c r="G58" s="884">
        <f t="shared" si="8"/>
        <v>0</v>
      </c>
      <c r="H58" s="1055">
        <f t="shared" si="9"/>
        <v>0</v>
      </c>
      <c r="I58" s="535"/>
    </row>
    <row r="59" spans="1:9" ht="17.25" thickBot="1" x14ac:dyDescent="0.35">
      <c r="A59" s="1401"/>
      <c r="B59" s="1324"/>
      <c r="C59" s="1207" t="s">
        <v>726</v>
      </c>
      <c r="D59" s="539">
        <f>SUM(D53:D58)</f>
        <v>954834000</v>
      </c>
      <c r="E59" s="539">
        <f t="shared" ref="E59" si="10">SUM(E53:E58)</f>
        <v>742067130</v>
      </c>
      <c r="F59" s="539">
        <f>SUM(F53:F58)</f>
        <v>954834000</v>
      </c>
      <c r="G59" s="1120">
        <f t="shared" si="8"/>
        <v>0</v>
      </c>
      <c r="H59" s="540">
        <f t="shared" si="9"/>
        <v>0</v>
      </c>
      <c r="I59" s="41"/>
    </row>
    <row r="60" spans="1:9" ht="18.600000000000001" customHeight="1" x14ac:dyDescent="0.3">
      <c r="A60" s="1401"/>
      <c r="B60" s="1323" t="s">
        <v>90</v>
      </c>
      <c r="C60" s="149" t="s">
        <v>19</v>
      </c>
      <c r="D60" s="1074">
        <v>2000000</v>
      </c>
      <c r="E60" s="70">
        <v>300000</v>
      </c>
      <c r="F60" s="1074">
        <v>2000000</v>
      </c>
      <c r="G60" s="543">
        <f>F60-D60</f>
        <v>0</v>
      </c>
      <c r="H60" s="453">
        <f t="shared" si="9"/>
        <v>0</v>
      </c>
      <c r="I60" s="542"/>
    </row>
    <row r="61" spans="1:9" ht="19.5" customHeight="1" x14ac:dyDescent="0.3">
      <c r="A61" s="1401"/>
      <c r="B61" s="1289"/>
      <c r="C61" s="219" t="s">
        <v>401</v>
      </c>
      <c r="D61" s="1075">
        <v>9600000</v>
      </c>
      <c r="E61" s="44">
        <v>8800000</v>
      </c>
      <c r="F61" s="1075">
        <v>9600000</v>
      </c>
      <c r="G61" s="884">
        <f t="shared" ref="G61:G63" si="11">F61-D61</f>
        <v>0</v>
      </c>
      <c r="H61" s="1055">
        <f t="shared" si="9"/>
        <v>0</v>
      </c>
      <c r="I61" s="534"/>
    </row>
    <row r="62" spans="1:9" x14ac:dyDescent="0.3">
      <c r="A62" s="1401"/>
      <c r="B62" s="1289"/>
      <c r="C62" s="150" t="s">
        <v>20</v>
      </c>
      <c r="D62" s="1075">
        <v>4000000</v>
      </c>
      <c r="E62" s="44">
        <v>971100</v>
      </c>
      <c r="F62" s="1075">
        <v>4000000</v>
      </c>
      <c r="G62" s="884">
        <f t="shared" si="11"/>
        <v>0</v>
      </c>
      <c r="H62" s="1055">
        <f t="shared" si="9"/>
        <v>0</v>
      </c>
      <c r="I62" s="534"/>
    </row>
    <row r="63" spans="1:9" ht="17.25" thickBot="1" x14ac:dyDescent="0.35">
      <c r="A63" s="1401"/>
      <c r="B63" s="1324"/>
      <c r="C63" s="1207" t="s">
        <v>726</v>
      </c>
      <c r="D63" s="539">
        <f>SUM(D60:D62)</f>
        <v>15600000</v>
      </c>
      <c r="E63" s="539">
        <f t="shared" ref="E63" si="12">SUM(E60:E62)</f>
        <v>10071100</v>
      </c>
      <c r="F63" s="539">
        <f>SUM(F60:F62)</f>
        <v>15600000</v>
      </c>
      <c r="G63" s="1095">
        <f t="shared" si="11"/>
        <v>0</v>
      </c>
      <c r="H63" s="540">
        <f t="shared" si="9"/>
        <v>0</v>
      </c>
      <c r="I63" s="41"/>
    </row>
    <row r="64" spans="1:9" x14ac:dyDescent="0.3">
      <c r="A64" s="1401"/>
      <c r="B64" s="1323" t="s">
        <v>131</v>
      </c>
      <c r="C64" s="536" t="s">
        <v>21</v>
      </c>
      <c r="D64" s="71">
        <v>2000000</v>
      </c>
      <c r="E64" s="71"/>
      <c r="F64" s="71">
        <v>2000000</v>
      </c>
      <c r="G64" s="543">
        <f>F64-D64</f>
        <v>0</v>
      </c>
      <c r="H64" s="453">
        <f t="shared" si="9"/>
        <v>0</v>
      </c>
      <c r="I64" s="534"/>
    </row>
    <row r="65" spans="1:9" ht="18.75" customHeight="1" x14ac:dyDescent="0.3">
      <c r="A65" s="1401"/>
      <c r="B65" s="1289"/>
      <c r="C65" s="150" t="s">
        <v>34</v>
      </c>
      <c r="D65" s="44">
        <v>9000000</v>
      </c>
      <c r="E65" s="44">
        <v>3923321</v>
      </c>
      <c r="F65" s="44">
        <v>9000000</v>
      </c>
      <c r="G65" s="884">
        <f t="shared" ref="G65:G72" si="13">F65-D65</f>
        <v>0</v>
      </c>
      <c r="H65" s="1055">
        <f t="shared" si="9"/>
        <v>0</v>
      </c>
      <c r="I65" s="534"/>
    </row>
    <row r="66" spans="1:9" ht="33" x14ac:dyDescent="0.3">
      <c r="A66" s="1401"/>
      <c r="B66" s="1289"/>
      <c r="C66" s="150" t="s">
        <v>23</v>
      </c>
      <c r="D66" s="44">
        <v>7500000</v>
      </c>
      <c r="E66" s="44">
        <v>2197101</v>
      </c>
      <c r="F66" s="44">
        <v>7500000</v>
      </c>
      <c r="G66" s="884">
        <f t="shared" si="13"/>
        <v>0</v>
      </c>
      <c r="H66" s="1055">
        <f t="shared" si="9"/>
        <v>0</v>
      </c>
      <c r="I66" s="533" t="s">
        <v>453</v>
      </c>
    </row>
    <row r="67" spans="1:9" ht="17.25" customHeight="1" x14ac:dyDescent="0.3">
      <c r="A67" s="1401"/>
      <c r="B67" s="1289"/>
      <c r="C67" s="150" t="s">
        <v>24</v>
      </c>
      <c r="D67" s="44">
        <v>4400000</v>
      </c>
      <c r="E67" s="44">
        <v>3080000</v>
      </c>
      <c r="F67" s="44">
        <v>4400000</v>
      </c>
      <c r="G67" s="884">
        <f t="shared" si="13"/>
        <v>0</v>
      </c>
      <c r="H67" s="1055">
        <f t="shared" si="9"/>
        <v>0</v>
      </c>
      <c r="I67" s="535"/>
    </row>
    <row r="68" spans="1:9" x14ac:dyDescent="0.3">
      <c r="A68" s="1401"/>
      <c r="B68" s="1289"/>
      <c r="C68" s="150" t="s">
        <v>35</v>
      </c>
      <c r="D68" s="44">
        <v>5800000</v>
      </c>
      <c r="E68" s="44">
        <v>5261051</v>
      </c>
      <c r="F68" s="44">
        <v>5800000</v>
      </c>
      <c r="G68" s="884">
        <f t="shared" si="13"/>
        <v>0</v>
      </c>
      <c r="H68" s="1055">
        <f t="shared" si="9"/>
        <v>0</v>
      </c>
      <c r="I68" s="550"/>
    </row>
    <row r="69" spans="1:9" x14ac:dyDescent="0.3">
      <c r="A69" s="1401"/>
      <c r="B69" s="1289"/>
      <c r="C69" s="1072" t="s">
        <v>710</v>
      </c>
      <c r="D69" s="44"/>
      <c r="E69" s="44"/>
      <c r="F69" s="44"/>
      <c r="G69" s="884">
        <f t="shared" si="13"/>
        <v>0</v>
      </c>
      <c r="H69" s="1055"/>
      <c r="I69" s="83"/>
    </row>
    <row r="70" spans="1:9" ht="21" customHeight="1" x14ac:dyDescent="0.3">
      <c r="A70" s="1401"/>
      <c r="B70" s="1289"/>
      <c r="C70" s="481" t="s">
        <v>36</v>
      </c>
      <c r="D70" s="44">
        <v>53500000</v>
      </c>
      <c r="E70" s="44">
        <v>19619100</v>
      </c>
      <c r="F70" s="44">
        <v>53500000</v>
      </c>
      <c r="G70" s="884">
        <f t="shared" si="13"/>
        <v>0</v>
      </c>
      <c r="H70" s="1055">
        <f t="shared" si="9"/>
        <v>0</v>
      </c>
      <c r="I70" s="551"/>
    </row>
    <row r="71" spans="1:9" ht="17.25" thickBot="1" x14ac:dyDescent="0.35">
      <c r="A71" s="1401"/>
      <c r="B71" s="1324"/>
      <c r="C71" s="1207" t="s">
        <v>726</v>
      </c>
      <c r="D71" s="580">
        <f>SUM(D64:D70)</f>
        <v>82200000</v>
      </c>
      <c r="E71" s="580">
        <f t="shared" ref="E71" si="14">SUM(E64:E70)</f>
        <v>34080573</v>
      </c>
      <c r="F71" s="580">
        <f>SUM(F64:F70)</f>
        <v>82200000</v>
      </c>
      <c r="G71" s="1095">
        <f t="shared" si="13"/>
        <v>0</v>
      </c>
      <c r="H71" s="540">
        <f t="shared" si="9"/>
        <v>0</v>
      </c>
      <c r="I71" s="42"/>
    </row>
    <row r="72" spans="1:9" ht="17.25" thickBot="1" x14ac:dyDescent="0.35">
      <c r="A72" s="1460"/>
      <c r="B72" s="1488" t="s">
        <v>667</v>
      </c>
      <c r="C72" s="1489"/>
      <c r="D72" s="552">
        <f>SUM(D59,D63,D71)</f>
        <v>1052634000</v>
      </c>
      <c r="E72" s="553">
        <f t="shared" ref="E72" si="15">SUM(E59,E63,E71)</f>
        <v>786218803</v>
      </c>
      <c r="F72" s="552">
        <f>SUM(F59,F63,F71)</f>
        <v>1052634000</v>
      </c>
      <c r="G72" s="646">
        <f t="shared" si="13"/>
        <v>0</v>
      </c>
      <c r="H72" s="554">
        <f t="shared" si="9"/>
        <v>0</v>
      </c>
      <c r="I72" s="549"/>
    </row>
    <row r="73" spans="1:9" ht="25.5" customHeight="1" x14ac:dyDescent="0.3">
      <c r="A73" s="1325" t="s">
        <v>189</v>
      </c>
      <c r="B73" s="1323" t="s">
        <v>42</v>
      </c>
      <c r="C73" s="149" t="s">
        <v>11</v>
      </c>
      <c r="D73" s="70">
        <v>11000000</v>
      </c>
      <c r="E73" s="965">
        <v>3189200</v>
      </c>
      <c r="F73" s="70">
        <v>11000000</v>
      </c>
      <c r="G73" s="36">
        <f>F73-D73</f>
        <v>0</v>
      </c>
      <c r="H73" s="130">
        <f t="shared" ref="H73:H111" si="16">G73/D73*100%</f>
        <v>0</v>
      </c>
      <c r="I73" s="533" t="s">
        <v>452</v>
      </c>
    </row>
    <row r="74" spans="1:9" ht="16.149999999999999" customHeight="1" x14ac:dyDescent="0.3">
      <c r="A74" s="1325"/>
      <c r="B74" s="1288"/>
      <c r="C74" s="942" t="s">
        <v>190</v>
      </c>
      <c r="D74" s="44">
        <v>10000000</v>
      </c>
      <c r="E74" s="568">
        <v>9100000</v>
      </c>
      <c r="F74" s="44">
        <v>10000000</v>
      </c>
      <c r="G74" s="36">
        <f t="shared" ref="G74:G76" si="17">F74-D74</f>
        <v>0</v>
      </c>
      <c r="H74" s="821">
        <f t="shared" si="16"/>
        <v>0</v>
      </c>
      <c r="I74" s="570" t="s">
        <v>454</v>
      </c>
    </row>
    <row r="75" spans="1:9" ht="17.25" customHeight="1" x14ac:dyDescent="0.3">
      <c r="A75" s="1326"/>
      <c r="B75" s="1289"/>
      <c r="C75" s="943" t="s">
        <v>37</v>
      </c>
      <c r="D75" s="44">
        <v>5000000</v>
      </c>
      <c r="E75" s="568"/>
      <c r="F75" s="44">
        <v>5000000</v>
      </c>
      <c r="G75" s="36">
        <f t="shared" si="17"/>
        <v>0</v>
      </c>
      <c r="H75" s="130">
        <f t="shared" si="16"/>
        <v>0</v>
      </c>
      <c r="I75" s="571"/>
    </row>
    <row r="76" spans="1:9" ht="17.25" thickBot="1" x14ac:dyDescent="0.35">
      <c r="A76" s="1327"/>
      <c r="B76" s="1311" t="s">
        <v>668</v>
      </c>
      <c r="C76" s="1311"/>
      <c r="D76" s="569">
        <f>SUM(D73:D75)</f>
        <v>26000000</v>
      </c>
      <c r="E76" s="569">
        <f t="shared" ref="E76" si="18">SUM(E73:E75)</f>
        <v>12289200</v>
      </c>
      <c r="F76" s="888">
        <f>SUM(F73:F75)</f>
        <v>26000000</v>
      </c>
      <c r="G76" s="601">
        <f t="shared" si="17"/>
        <v>0</v>
      </c>
      <c r="H76" s="572">
        <f t="shared" si="16"/>
        <v>0</v>
      </c>
      <c r="I76" s="42"/>
    </row>
    <row r="77" spans="1:9" x14ac:dyDescent="0.3">
      <c r="A77" s="1302" t="s">
        <v>303</v>
      </c>
      <c r="B77" s="1305" t="s">
        <v>131</v>
      </c>
      <c r="C77" s="585" t="s">
        <v>132</v>
      </c>
      <c r="D77" s="70"/>
      <c r="E77" s="70"/>
      <c r="F77" s="70"/>
      <c r="G77" s="71">
        <f t="shared" ref="G77:G113" si="19">F77-D77</f>
        <v>0</v>
      </c>
      <c r="H77" s="453"/>
      <c r="I77" s="79"/>
    </row>
    <row r="78" spans="1:9" x14ac:dyDescent="0.3">
      <c r="A78" s="1303"/>
      <c r="B78" s="1306"/>
      <c r="C78" s="1111" t="s">
        <v>133</v>
      </c>
      <c r="D78" s="221"/>
      <c r="E78" s="221"/>
      <c r="F78" s="221"/>
      <c r="G78" s="884">
        <f t="shared" si="19"/>
        <v>0</v>
      </c>
      <c r="H78" s="130"/>
      <c r="I78" s="240"/>
    </row>
    <row r="79" spans="1:9" x14ac:dyDescent="0.3">
      <c r="A79" s="1303"/>
      <c r="B79" s="1306"/>
      <c r="C79" s="1111" t="s">
        <v>194</v>
      </c>
      <c r="D79" s="221"/>
      <c r="E79" s="221"/>
      <c r="F79" s="221"/>
      <c r="G79" s="884">
        <f t="shared" si="19"/>
        <v>0</v>
      </c>
      <c r="H79" s="130"/>
      <c r="I79" s="240"/>
    </row>
    <row r="80" spans="1:9" x14ac:dyDescent="0.3">
      <c r="A80" s="1303"/>
      <c r="B80" s="1306"/>
      <c r="C80" s="230" t="s">
        <v>134</v>
      </c>
      <c r="D80" s="44"/>
      <c r="E80" s="44"/>
      <c r="F80" s="44"/>
      <c r="G80" s="884">
        <f t="shared" si="19"/>
        <v>0</v>
      </c>
      <c r="H80" s="130"/>
      <c r="I80" s="83"/>
    </row>
    <row r="81" spans="1:9" x14ac:dyDescent="0.3">
      <c r="A81" s="1303"/>
      <c r="B81" s="1306"/>
      <c r="C81" s="230" t="s">
        <v>195</v>
      </c>
      <c r="D81" s="44"/>
      <c r="E81" s="44"/>
      <c r="F81" s="44"/>
      <c r="G81" s="884">
        <f t="shared" si="19"/>
        <v>0</v>
      </c>
      <c r="H81" s="130"/>
      <c r="I81" s="83"/>
    </row>
    <row r="82" spans="1:9" ht="17.25" thickBot="1" x14ac:dyDescent="0.35">
      <c r="A82" s="1303"/>
      <c r="B82" s="1307"/>
      <c r="C82" s="1207" t="s">
        <v>726</v>
      </c>
      <c r="D82" s="73">
        <f>SUM(D77:D81)</f>
        <v>0</v>
      </c>
      <c r="E82" s="73">
        <f t="shared" ref="E82:F82" si="20">SUM(E77:E81)</f>
        <v>0</v>
      </c>
      <c r="F82" s="73">
        <f t="shared" si="20"/>
        <v>0</v>
      </c>
      <c r="G82" s="73">
        <f t="shared" si="19"/>
        <v>0</v>
      </c>
      <c r="H82" s="233"/>
      <c r="I82" s="81"/>
    </row>
    <row r="83" spans="1:9" ht="18" customHeight="1" x14ac:dyDescent="0.3">
      <c r="A83" s="1303"/>
      <c r="B83" s="1309" t="s">
        <v>197</v>
      </c>
      <c r="C83" s="942" t="s">
        <v>164</v>
      </c>
      <c r="D83" s="221"/>
      <c r="E83" s="221"/>
      <c r="F83" s="221"/>
      <c r="G83" s="885">
        <f t="shared" si="19"/>
        <v>0</v>
      </c>
      <c r="H83" s="130"/>
      <c r="I83" s="240"/>
    </row>
    <row r="84" spans="1:9" ht="18" customHeight="1" x14ac:dyDescent="0.3">
      <c r="A84" s="1303"/>
      <c r="B84" s="1309"/>
      <c r="C84" s="943" t="s">
        <v>191</v>
      </c>
      <c r="D84" s="44"/>
      <c r="E84" s="44"/>
      <c r="F84" s="44"/>
      <c r="G84" s="66">
        <f t="shared" si="19"/>
        <v>0</v>
      </c>
      <c r="H84" s="130"/>
      <c r="I84" s="83"/>
    </row>
    <row r="85" spans="1:9" ht="18" customHeight="1" x14ac:dyDescent="0.3">
      <c r="A85" s="1303"/>
      <c r="B85" s="1309"/>
      <c r="C85" s="943" t="s">
        <v>192</v>
      </c>
      <c r="D85" s="44"/>
      <c r="E85" s="44"/>
      <c r="F85" s="44"/>
      <c r="G85" s="66">
        <f t="shared" si="19"/>
        <v>0</v>
      </c>
      <c r="H85" s="130"/>
      <c r="I85" s="83"/>
    </row>
    <row r="86" spans="1:9" ht="18" customHeight="1" x14ac:dyDescent="0.3">
      <c r="A86" s="1303"/>
      <c r="B86" s="1309"/>
      <c r="C86" s="943" t="s">
        <v>140</v>
      </c>
      <c r="D86" s="44"/>
      <c r="E86" s="44"/>
      <c r="F86" s="44"/>
      <c r="G86" s="66">
        <f t="shared" si="19"/>
        <v>0</v>
      </c>
      <c r="H86" s="130"/>
      <c r="I86" s="83"/>
    </row>
    <row r="87" spans="1:9" ht="18" customHeight="1" x14ac:dyDescent="0.3">
      <c r="A87" s="1303"/>
      <c r="B87" s="1309"/>
      <c r="C87" s="943" t="s">
        <v>137</v>
      </c>
      <c r="D87" s="44"/>
      <c r="E87" s="44"/>
      <c r="F87" s="44"/>
      <c r="G87" s="66">
        <f t="shared" si="19"/>
        <v>0</v>
      </c>
      <c r="H87" s="130"/>
      <c r="I87" s="83"/>
    </row>
    <row r="88" spans="1:9" ht="18" customHeight="1" x14ac:dyDescent="0.3">
      <c r="A88" s="1303"/>
      <c r="B88" s="1309"/>
      <c r="C88" s="943" t="s">
        <v>141</v>
      </c>
      <c r="D88" s="44"/>
      <c r="E88" s="44"/>
      <c r="F88" s="44"/>
      <c r="G88" s="66">
        <f t="shared" si="19"/>
        <v>0</v>
      </c>
      <c r="H88" s="130"/>
      <c r="I88" s="83"/>
    </row>
    <row r="89" spans="1:9" ht="18" customHeight="1" x14ac:dyDescent="0.3">
      <c r="A89" s="1303"/>
      <c r="B89" s="1309"/>
      <c r="C89" s="943" t="s">
        <v>138</v>
      </c>
      <c r="D89" s="44"/>
      <c r="E89" s="44"/>
      <c r="F89" s="44"/>
      <c r="G89" s="66">
        <f t="shared" si="19"/>
        <v>0</v>
      </c>
      <c r="H89" s="130"/>
      <c r="I89" s="83"/>
    </row>
    <row r="90" spans="1:9" ht="18" customHeight="1" x14ac:dyDescent="0.3">
      <c r="A90" s="1303"/>
      <c r="B90" s="1309"/>
      <c r="C90" s="943" t="s">
        <v>139</v>
      </c>
      <c r="D90" s="44"/>
      <c r="E90" s="44"/>
      <c r="F90" s="44"/>
      <c r="G90" s="66">
        <f t="shared" si="19"/>
        <v>0</v>
      </c>
      <c r="H90" s="130"/>
      <c r="I90" s="83"/>
    </row>
    <row r="91" spans="1:9" ht="18" customHeight="1" x14ac:dyDescent="0.3">
      <c r="A91" s="1303"/>
      <c r="B91" s="1309"/>
      <c r="C91" s="943" t="s">
        <v>136</v>
      </c>
      <c r="D91" s="44"/>
      <c r="E91" s="44"/>
      <c r="F91" s="44"/>
      <c r="G91" s="66">
        <f t="shared" si="19"/>
        <v>0</v>
      </c>
      <c r="H91" s="130"/>
      <c r="I91" s="83"/>
    </row>
    <row r="92" spans="1:9" ht="18" customHeight="1" x14ac:dyDescent="0.3">
      <c r="A92" s="1303"/>
      <c r="B92" s="1309"/>
      <c r="C92" s="943" t="s">
        <v>135</v>
      </c>
      <c r="D92" s="44"/>
      <c r="E92" s="44"/>
      <c r="F92" s="44"/>
      <c r="G92" s="44"/>
      <c r="H92" s="130"/>
      <c r="I92" s="83"/>
    </row>
    <row r="93" spans="1:9" ht="18.600000000000001" customHeight="1" x14ac:dyDescent="0.3">
      <c r="A93" s="1303"/>
      <c r="B93" s="1309"/>
      <c r="C93" s="943" t="s">
        <v>193</v>
      </c>
      <c r="D93" s="44">
        <v>10000000</v>
      </c>
      <c r="E93" s="44">
        <v>5884750</v>
      </c>
      <c r="F93" s="44">
        <v>10000000</v>
      </c>
      <c r="G93" s="44">
        <f>F93-D93</f>
        <v>0</v>
      </c>
      <c r="H93" s="130">
        <f t="shared" si="16"/>
        <v>0</v>
      </c>
      <c r="I93" s="551" t="s">
        <v>455</v>
      </c>
    </row>
    <row r="94" spans="1:9" ht="18" customHeight="1" x14ac:dyDescent="0.3">
      <c r="A94" s="1303"/>
      <c r="B94" s="1309"/>
      <c r="C94" s="943" t="s">
        <v>239</v>
      </c>
      <c r="D94" s="44"/>
      <c r="E94" s="44"/>
      <c r="F94" s="44"/>
      <c r="G94" s="66">
        <f t="shared" si="19"/>
        <v>0</v>
      </c>
      <c r="H94" s="130"/>
      <c r="I94" s="83"/>
    </row>
    <row r="95" spans="1:9" ht="18" customHeight="1" x14ac:dyDescent="0.3">
      <c r="A95" s="1303"/>
      <c r="B95" s="1309"/>
      <c r="C95" s="943" t="s">
        <v>240</v>
      </c>
      <c r="D95" s="44"/>
      <c r="E95" s="44"/>
      <c r="F95" s="44"/>
      <c r="G95" s="66">
        <f t="shared" si="19"/>
        <v>0</v>
      </c>
      <c r="H95" s="130"/>
      <c r="I95" s="83"/>
    </row>
    <row r="96" spans="1:9" ht="18" customHeight="1" x14ac:dyDescent="0.3">
      <c r="A96" s="1303"/>
      <c r="B96" s="1309"/>
      <c r="C96" s="943" t="s">
        <v>241</v>
      </c>
      <c r="D96" s="44"/>
      <c r="E96" s="44"/>
      <c r="F96" s="44"/>
      <c r="G96" s="66">
        <f t="shared" si="19"/>
        <v>0</v>
      </c>
      <c r="H96" s="130"/>
      <c r="I96" s="83"/>
    </row>
    <row r="97" spans="1:9" ht="18" customHeight="1" x14ac:dyDescent="0.3">
      <c r="A97" s="1303"/>
      <c r="B97" s="1309"/>
      <c r="C97" s="943" t="s">
        <v>242</v>
      </c>
      <c r="D97" s="44"/>
      <c r="E97" s="44"/>
      <c r="F97" s="44"/>
      <c r="G97" s="66">
        <f t="shared" si="19"/>
        <v>0</v>
      </c>
      <c r="H97" s="130"/>
      <c r="I97" s="83"/>
    </row>
    <row r="98" spans="1:9" ht="18" customHeight="1" x14ac:dyDescent="0.3">
      <c r="A98" s="1303"/>
      <c r="B98" s="1309"/>
      <c r="C98" s="943" t="s">
        <v>243</v>
      </c>
      <c r="D98" s="44"/>
      <c r="E98" s="44"/>
      <c r="F98" s="44"/>
      <c r="G98" s="66">
        <f t="shared" si="19"/>
        <v>0</v>
      </c>
      <c r="H98" s="130"/>
      <c r="I98" s="83"/>
    </row>
    <row r="99" spans="1:9" ht="19.5" customHeight="1" x14ac:dyDescent="0.3">
      <c r="A99" s="1303"/>
      <c r="B99" s="1309"/>
      <c r="C99" s="943" t="s">
        <v>244</v>
      </c>
      <c r="D99" s="44"/>
      <c r="E99" s="44"/>
      <c r="F99" s="44"/>
      <c r="G99" s="66">
        <f t="shared" si="19"/>
        <v>0</v>
      </c>
      <c r="H99" s="130"/>
      <c r="I99" s="83"/>
    </row>
    <row r="100" spans="1:9" ht="19.5" customHeight="1" x14ac:dyDescent="0.3">
      <c r="A100" s="1303"/>
      <c r="B100" s="1309"/>
      <c r="C100" s="943" t="s">
        <v>245</v>
      </c>
      <c r="D100" s="44"/>
      <c r="E100" s="44"/>
      <c r="F100" s="44"/>
      <c r="G100" s="66">
        <f t="shared" si="19"/>
        <v>0</v>
      </c>
      <c r="H100" s="130"/>
      <c r="I100" s="83"/>
    </row>
    <row r="101" spans="1:9" ht="19.5" customHeight="1" x14ac:dyDescent="0.3">
      <c r="A101" s="1303"/>
      <c r="B101" s="1309"/>
      <c r="C101" s="943" t="s">
        <v>232</v>
      </c>
      <c r="D101" s="44"/>
      <c r="E101" s="44"/>
      <c r="F101" s="44"/>
      <c r="G101" s="66">
        <f t="shared" si="19"/>
        <v>0</v>
      </c>
      <c r="H101" s="130"/>
      <c r="I101" s="83"/>
    </row>
    <row r="102" spans="1:9" ht="19.5" customHeight="1" x14ac:dyDescent="0.3">
      <c r="A102" s="1303"/>
      <c r="B102" s="1309"/>
      <c r="C102" s="943" t="s">
        <v>233</v>
      </c>
      <c r="D102" s="44"/>
      <c r="E102" s="44"/>
      <c r="F102" s="44"/>
      <c r="G102" s="66">
        <f t="shared" si="19"/>
        <v>0</v>
      </c>
      <c r="H102" s="130"/>
      <c r="I102" s="83"/>
    </row>
    <row r="103" spans="1:9" ht="19.5" customHeight="1" x14ac:dyDescent="0.3">
      <c r="A103" s="1303"/>
      <c r="B103" s="1309"/>
      <c r="C103" s="943" t="s">
        <v>234</v>
      </c>
      <c r="D103" s="44"/>
      <c r="E103" s="44"/>
      <c r="F103" s="44"/>
      <c r="G103" s="66">
        <f t="shared" si="19"/>
        <v>0</v>
      </c>
      <c r="H103" s="130"/>
      <c r="I103" s="83"/>
    </row>
    <row r="104" spans="1:9" ht="19.5" customHeight="1" x14ac:dyDescent="0.3">
      <c r="A104" s="1303"/>
      <c r="B104" s="1309"/>
      <c r="C104" s="943" t="s">
        <v>235</v>
      </c>
      <c r="D104" s="44"/>
      <c r="E104" s="44"/>
      <c r="F104" s="44"/>
      <c r="G104" s="66">
        <f t="shared" si="19"/>
        <v>0</v>
      </c>
      <c r="H104" s="130"/>
      <c r="I104" s="83"/>
    </row>
    <row r="105" spans="1:9" ht="17.25" thickBot="1" x14ac:dyDescent="0.35">
      <c r="A105" s="1303"/>
      <c r="B105" s="1310"/>
      <c r="C105" s="1207" t="s">
        <v>726</v>
      </c>
      <c r="D105" s="519">
        <f>SUM(D83:D104)</f>
        <v>10000000</v>
      </c>
      <c r="E105" s="519">
        <f>SUM(E83:E104)</f>
        <v>5884750</v>
      </c>
      <c r="F105" s="519">
        <f>SUM(F83:F104)</f>
        <v>10000000</v>
      </c>
      <c r="G105" s="519">
        <f t="shared" si="19"/>
        <v>0</v>
      </c>
      <c r="H105" s="540">
        <f t="shared" si="16"/>
        <v>0</v>
      </c>
      <c r="I105" s="81"/>
    </row>
    <row r="106" spans="1:9" ht="17.25" thickBot="1" x14ac:dyDescent="0.35">
      <c r="A106" s="1304"/>
      <c r="B106" s="1492" t="s">
        <v>668</v>
      </c>
      <c r="C106" s="1493"/>
      <c r="D106" s="575">
        <f>SUM(D82,D105)</f>
        <v>10000000</v>
      </c>
      <c r="E106" s="575">
        <f>SUM(E82,E105)</f>
        <v>5884750</v>
      </c>
      <c r="F106" s="575">
        <f>SUM(F82,F105)</f>
        <v>10000000</v>
      </c>
      <c r="G106" s="553">
        <f t="shared" si="19"/>
        <v>0</v>
      </c>
      <c r="H106" s="554">
        <f t="shared" si="16"/>
        <v>0</v>
      </c>
      <c r="I106" s="574"/>
    </row>
    <row r="107" spans="1:9" x14ac:dyDescent="0.3">
      <c r="A107" s="1302" t="s">
        <v>274</v>
      </c>
      <c r="B107" s="1164" t="s">
        <v>301</v>
      </c>
      <c r="C107" s="1206" t="s">
        <v>8</v>
      </c>
      <c r="D107" s="216"/>
      <c r="E107" s="69"/>
      <c r="F107" s="77"/>
      <c r="G107" s="36">
        <f t="shared" si="19"/>
        <v>0</v>
      </c>
      <c r="H107" s="130"/>
      <c r="I107" s="37"/>
    </row>
    <row r="108" spans="1:9" ht="17.25" thickBot="1" x14ac:dyDescent="0.35">
      <c r="A108" s="1304"/>
      <c r="B108" s="1399" t="s">
        <v>668</v>
      </c>
      <c r="C108" s="1400"/>
      <c r="D108" s="210">
        <f>D107</f>
        <v>0</v>
      </c>
      <c r="E108" s="210">
        <f t="shared" ref="E108:F108" si="21">E107</f>
        <v>0</v>
      </c>
      <c r="F108" s="210">
        <f t="shared" si="21"/>
        <v>0</v>
      </c>
      <c r="G108" s="158">
        <f t="shared" si="19"/>
        <v>0</v>
      </c>
      <c r="H108" s="238"/>
      <c r="I108" s="42"/>
    </row>
    <row r="109" spans="1:9" x14ac:dyDescent="0.3">
      <c r="A109" s="1471" t="s">
        <v>269</v>
      </c>
      <c r="B109" s="1308" t="s">
        <v>271</v>
      </c>
      <c r="C109" s="149" t="s">
        <v>65</v>
      </c>
      <c r="D109" s="71">
        <v>11466000</v>
      </c>
      <c r="E109" s="69"/>
      <c r="F109" s="71">
        <v>11466000</v>
      </c>
      <c r="G109" s="157">
        <f>F109-D109</f>
        <v>0</v>
      </c>
      <c r="H109" s="130">
        <f t="shared" si="16"/>
        <v>0</v>
      </c>
      <c r="I109" s="39"/>
    </row>
    <row r="110" spans="1:9" x14ac:dyDescent="0.3">
      <c r="A110" s="1286"/>
      <c r="B110" s="1288"/>
      <c r="C110" s="943" t="s">
        <v>38</v>
      </c>
      <c r="D110" s="212"/>
      <c r="E110" s="44"/>
      <c r="F110" s="212"/>
      <c r="G110" s="35"/>
      <c r="H110" s="130"/>
      <c r="I110" s="37"/>
    </row>
    <row r="111" spans="1:9" ht="17.25" thickBot="1" x14ac:dyDescent="0.35">
      <c r="A111" s="1490"/>
      <c r="B111" s="1403" t="s">
        <v>668</v>
      </c>
      <c r="C111" s="1491"/>
      <c r="D111" s="576">
        <f>SUM(D109:D110)</f>
        <v>11466000</v>
      </c>
      <c r="E111" s="576">
        <f t="shared" ref="E111" si="22">SUM(E109:E110)</f>
        <v>0</v>
      </c>
      <c r="F111" s="889">
        <f>SUM(F109:F110)</f>
        <v>11466000</v>
      </c>
      <c r="G111" s="520">
        <f>F111-D111</f>
        <v>0</v>
      </c>
      <c r="H111" s="577">
        <f t="shared" si="16"/>
        <v>0</v>
      </c>
      <c r="I111" s="42"/>
    </row>
    <row r="112" spans="1:9" ht="20.25" customHeight="1" thickBot="1" x14ac:dyDescent="0.35">
      <c r="A112" s="152" t="s">
        <v>43</v>
      </c>
      <c r="B112" s="153" t="s">
        <v>43</v>
      </c>
      <c r="C112" s="220" t="s">
        <v>68</v>
      </c>
      <c r="D112" s="213"/>
      <c r="E112" s="224"/>
      <c r="F112" s="215"/>
      <c r="G112" s="908"/>
      <c r="H112" s="130"/>
      <c r="I112" s="138"/>
    </row>
    <row r="113" spans="1:9" ht="17.25" thickBot="1" x14ac:dyDescent="0.35">
      <c r="A113" s="1391" t="s">
        <v>669</v>
      </c>
      <c r="B113" s="1392"/>
      <c r="C113" s="1393"/>
      <c r="D113" s="302">
        <f>SUM(D72,D76,D106,D108,D111,D112)</f>
        <v>1100100000</v>
      </c>
      <c r="E113" s="302">
        <f>SUM(E72,E76,E106,E108,E111,E112)</f>
        <v>804392753</v>
      </c>
      <c r="F113" s="302">
        <f>SUM(F72,F76,F106,F108,F111,F112)</f>
        <v>1100100000</v>
      </c>
      <c r="G113" s="302">
        <f t="shared" si="19"/>
        <v>0</v>
      </c>
      <c r="H113" s="523">
        <f>G113/D113*100%</f>
        <v>0</v>
      </c>
      <c r="I113" s="78"/>
    </row>
    <row r="115" spans="1:9" ht="17.45" customHeight="1" x14ac:dyDescent="0.3">
      <c r="E115" s="50"/>
    </row>
  </sheetData>
  <mergeCells count="65"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B33:C33"/>
    <mergeCell ref="A41:A45"/>
    <mergeCell ref="B41:B44"/>
    <mergeCell ref="B45:C45"/>
    <mergeCell ref="A46:A48"/>
    <mergeCell ref="B46:B47"/>
    <mergeCell ref="B48:C48"/>
    <mergeCell ref="B73:B75"/>
    <mergeCell ref="B76:C76"/>
    <mergeCell ref="A49:C49"/>
    <mergeCell ref="A50:I50"/>
    <mergeCell ref="A51:C51"/>
    <mergeCell ref="D51:D52"/>
    <mergeCell ref="E51:E52"/>
    <mergeCell ref="F51:F52"/>
    <mergeCell ref="G51:G52"/>
    <mergeCell ref="H51:H52"/>
    <mergeCell ref="I51:I52"/>
    <mergeCell ref="A53:A72"/>
    <mergeCell ref="A1:I1"/>
    <mergeCell ref="A109:A111"/>
    <mergeCell ref="B109:B110"/>
    <mergeCell ref="B111:C111"/>
    <mergeCell ref="A113:C113"/>
    <mergeCell ref="A77:A106"/>
    <mergeCell ref="B77:B82"/>
    <mergeCell ref="B83:B105"/>
    <mergeCell ref="B106:C106"/>
    <mergeCell ref="A107:A108"/>
    <mergeCell ref="B108:C108"/>
    <mergeCell ref="B53:B59"/>
    <mergeCell ref="B60:B63"/>
    <mergeCell ref="B64:B71"/>
    <mergeCell ref="B72:C72"/>
    <mergeCell ref="A73:A76"/>
  </mergeCells>
  <phoneticPr fontId="2" type="noConversion"/>
  <pageMargins left="0.25" right="0.25" top="0.75" bottom="0.75" header="0.3" footer="0.3"/>
  <pageSetup paperSize="9"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I79"/>
  <sheetViews>
    <sheetView topLeftCell="A45" zoomScale="70" zoomScaleNormal="70" workbookViewId="0">
      <selection sqref="A1:I79"/>
    </sheetView>
  </sheetViews>
  <sheetFormatPr defaultRowHeight="16.5" x14ac:dyDescent="0.3"/>
  <cols>
    <col min="1" max="1" width="15.75" customWidth="1"/>
    <col min="2" max="2" width="15.375" customWidth="1"/>
    <col min="3" max="3" width="18.125" customWidth="1"/>
    <col min="4" max="4" width="19" customWidth="1"/>
    <col min="5" max="5" width="20.5" customWidth="1"/>
    <col min="6" max="6" width="18.125" customWidth="1"/>
    <col min="7" max="7" width="17.25" customWidth="1"/>
    <col min="8" max="8" width="11.125" customWidth="1"/>
    <col min="9" max="9" width="42" customWidth="1"/>
  </cols>
  <sheetData>
    <row r="1" spans="1:9" ht="19.5" x14ac:dyDescent="0.3">
      <c r="A1" s="1518"/>
      <c r="B1" s="1518"/>
      <c r="C1" s="1518"/>
      <c r="D1" s="1518"/>
      <c r="E1" s="1518"/>
      <c r="F1" s="1518"/>
      <c r="G1" s="1518"/>
      <c r="H1" s="1518"/>
      <c r="I1" s="1518"/>
    </row>
    <row r="2" spans="1:9" ht="31.5" x14ac:dyDescent="0.3">
      <c r="A2" s="1519" t="s">
        <v>70</v>
      </c>
      <c r="B2" s="1519"/>
      <c r="C2" s="1519"/>
      <c r="D2" s="1519"/>
      <c r="E2" s="1519"/>
      <c r="F2" s="1519"/>
      <c r="G2" s="1519"/>
      <c r="H2" s="1519"/>
      <c r="I2" s="1519"/>
    </row>
    <row r="3" spans="1:9" ht="17.100000000000001" customHeight="1" x14ac:dyDescent="0.3">
      <c r="A3" s="1520" t="s">
        <v>724</v>
      </c>
      <c r="B3" s="1520"/>
      <c r="C3" s="1520"/>
      <c r="D3" s="1520"/>
      <c r="E3" s="1520"/>
      <c r="F3" s="1520"/>
      <c r="G3" s="1520"/>
      <c r="H3" s="1520"/>
      <c r="I3" s="1520"/>
    </row>
    <row r="4" spans="1:9" ht="24.6" customHeight="1" x14ac:dyDescent="0.3">
      <c r="A4" s="1520"/>
      <c r="B4" s="1520"/>
      <c r="C4" s="1520"/>
      <c r="D4" s="1520"/>
      <c r="E4" s="1520"/>
      <c r="F4" s="1520"/>
      <c r="G4" s="1520"/>
      <c r="H4" s="1520"/>
      <c r="I4" s="1520"/>
    </row>
    <row r="5" spans="1:9" ht="18" thickBot="1" x14ac:dyDescent="0.35">
      <c r="A5" s="1521" t="s">
        <v>720</v>
      </c>
      <c r="B5" s="1521"/>
      <c r="C5" s="1521"/>
      <c r="D5" s="1521"/>
      <c r="E5" s="1521"/>
      <c r="F5" s="1521"/>
      <c r="G5" s="1521"/>
      <c r="H5" s="1521"/>
      <c r="I5" s="1521"/>
    </row>
    <row r="6" spans="1:9" ht="17.25" customHeight="1" x14ac:dyDescent="0.3">
      <c r="A6" s="1522" t="s">
        <v>14</v>
      </c>
      <c r="B6" s="1523"/>
      <c r="C6" s="1523"/>
      <c r="D6" s="1273" t="s">
        <v>237</v>
      </c>
      <c r="E6" s="1273" t="s">
        <v>456</v>
      </c>
      <c r="F6" s="1273" t="s">
        <v>310</v>
      </c>
      <c r="G6" s="1273" t="s">
        <v>59</v>
      </c>
      <c r="H6" s="1275" t="s">
        <v>49</v>
      </c>
      <c r="I6" s="1277" t="s">
        <v>61</v>
      </c>
    </row>
    <row r="7" spans="1:9" ht="17.25" customHeight="1" thickBot="1" x14ac:dyDescent="0.35">
      <c r="A7" s="93" t="s">
        <v>0</v>
      </c>
      <c r="B7" s="94" t="s">
        <v>1</v>
      </c>
      <c r="C7" s="94" t="s">
        <v>2</v>
      </c>
      <c r="D7" s="1274"/>
      <c r="E7" s="1274"/>
      <c r="F7" s="1274"/>
      <c r="G7" s="1274"/>
      <c r="H7" s="1494"/>
      <c r="I7" s="1524"/>
    </row>
    <row r="8" spans="1:9" ht="33" x14ac:dyDescent="0.3">
      <c r="A8" s="1514" t="s">
        <v>281</v>
      </c>
      <c r="B8" s="1501" t="s">
        <v>282</v>
      </c>
      <c r="C8" s="172" t="s">
        <v>329</v>
      </c>
      <c r="D8" s="967">
        <v>182064000</v>
      </c>
      <c r="E8" s="967">
        <v>140945599</v>
      </c>
      <c r="F8" s="968">
        <v>188972000</v>
      </c>
      <c r="G8" s="12">
        <f>F8-D8</f>
        <v>6908000</v>
      </c>
      <c r="H8" s="139">
        <f>G8/D8*100%</f>
        <v>3.7942701467615782E-2</v>
      </c>
      <c r="I8" s="971" t="s">
        <v>457</v>
      </c>
    </row>
    <row r="9" spans="1:9" x14ac:dyDescent="0.3">
      <c r="A9" s="1516"/>
      <c r="B9" s="1502"/>
      <c r="C9" s="390" t="s">
        <v>330</v>
      </c>
      <c r="D9" s="463"/>
      <c r="E9" s="463"/>
      <c r="F9" s="464"/>
      <c r="G9" s="12"/>
      <c r="H9" s="139"/>
      <c r="I9" s="465"/>
    </row>
    <row r="10" spans="1:9" ht="17.25" thickBot="1" x14ac:dyDescent="0.35">
      <c r="A10" s="1515"/>
      <c r="B10" s="1368" t="s">
        <v>665</v>
      </c>
      <c r="C10" s="1369"/>
      <c r="D10" s="969">
        <f>D8+D9</f>
        <v>182064000</v>
      </c>
      <c r="E10" s="969">
        <f t="shared" ref="E10:F10" si="0">E8+E9</f>
        <v>140945599</v>
      </c>
      <c r="F10" s="969">
        <f t="shared" si="0"/>
        <v>188972000</v>
      </c>
      <c r="G10" s="970">
        <f t="shared" ref="G10:G31" si="1">F10-D10</f>
        <v>6908000</v>
      </c>
      <c r="H10" s="145">
        <f>G10/D10*100%</f>
        <v>3.7942701467615782E-2</v>
      </c>
      <c r="I10" s="182"/>
    </row>
    <row r="11" spans="1:9" x14ac:dyDescent="0.3">
      <c r="A11" s="1517" t="s">
        <v>283</v>
      </c>
      <c r="B11" s="376" t="s">
        <v>257</v>
      </c>
      <c r="C11" s="169" t="s">
        <v>105</v>
      </c>
      <c r="D11" s="972">
        <v>19824000</v>
      </c>
      <c r="E11" s="972">
        <v>7648000</v>
      </c>
      <c r="F11" s="972">
        <v>7972000</v>
      </c>
      <c r="G11" s="107">
        <f t="shared" si="1"/>
        <v>-11852000</v>
      </c>
      <c r="H11" s="144">
        <f>G11/D11*100%</f>
        <v>-0.59786117836965291</v>
      </c>
      <c r="I11" s="975" t="s">
        <v>458</v>
      </c>
    </row>
    <row r="12" spans="1:9" x14ac:dyDescent="0.3">
      <c r="A12" s="1517"/>
      <c r="B12" s="389" t="s">
        <v>102</v>
      </c>
      <c r="C12" s="169" t="s">
        <v>102</v>
      </c>
      <c r="D12" s="967">
        <v>11833000</v>
      </c>
      <c r="E12" s="967">
        <v>7519000</v>
      </c>
      <c r="F12" s="967">
        <v>8343000</v>
      </c>
      <c r="G12" s="23">
        <f t="shared" si="1"/>
        <v>-3490000</v>
      </c>
      <c r="H12" s="144">
        <f t="shared" ref="H12:H13" si="2">G12/D12*100%</f>
        <v>-0.29493788557424155</v>
      </c>
      <c r="I12" s="971" t="s">
        <v>459</v>
      </c>
    </row>
    <row r="13" spans="1:9" ht="17.25" thickBot="1" x14ac:dyDescent="0.35">
      <c r="A13" s="1497"/>
      <c r="B13" s="1368" t="s">
        <v>665</v>
      </c>
      <c r="C13" s="1369"/>
      <c r="D13" s="969">
        <f>D11+D12</f>
        <v>31657000</v>
      </c>
      <c r="E13" s="969">
        <f t="shared" ref="E13:F13" si="3">E11+E12</f>
        <v>15167000</v>
      </c>
      <c r="F13" s="969">
        <f t="shared" si="3"/>
        <v>16315000</v>
      </c>
      <c r="G13" s="197">
        <f t="shared" si="1"/>
        <v>-15342000</v>
      </c>
      <c r="H13" s="974">
        <f t="shared" si="2"/>
        <v>-0.48463215086710681</v>
      </c>
      <c r="I13" s="183"/>
    </row>
    <row r="14" spans="1:9" x14ac:dyDescent="0.3">
      <c r="A14" s="1513" t="s">
        <v>159</v>
      </c>
      <c r="B14" s="1504" t="s">
        <v>284</v>
      </c>
      <c r="C14" s="189" t="s">
        <v>72</v>
      </c>
      <c r="D14" s="976">
        <v>278793293</v>
      </c>
      <c r="E14" s="976">
        <v>215794680</v>
      </c>
      <c r="F14" s="977">
        <v>304394980</v>
      </c>
      <c r="G14" s="110">
        <f t="shared" si="1"/>
        <v>25601687</v>
      </c>
      <c r="H14" s="144">
        <f>G14/D14*100%</f>
        <v>9.1830354756776741E-2</v>
      </c>
      <c r="I14" s="184"/>
    </row>
    <row r="15" spans="1:9" x14ac:dyDescent="0.3">
      <c r="A15" s="1513"/>
      <c r="B15" s="1505"/>
      <c r="C15" s="1128" t="s">
        <v>572</v>
      </c>
      <c r="D15" s="467">
        <f>D14</f>
        <v>278793293</v>
      </c>
      <c r="E15" s="467">
        <f t="shared" ref="E15:F15" si="4">E14</f>
        <v>215794680</v>
      </c>
      <c r="F15" s="467">
        <f t="shared" si="4"/>
        <v>304394980</v>
      </c>
      <c r="G15" s="980">
        <f t="shared" si="1"/>
        <v>25601687</v>
      </c>
      <c r="H15" s="981">
        <f t="shared" ref="H15:H31" si="5">G15/D15*100%</f>
        <v>9.1830354756776741E-2</v>
      </c>
      <c r="I15" s="184"/>
    </row>
    <row r="16" spans="1:9" ht="17.25" thickBot="1" x14ac:dyDescent="0.35">
      <c r="A16" s="1514"/>
      <c r="B16" s="1503" t="s">
        <v>285</v>
      </c>
      <c r="C16" s="174" t="s">
        <v>460</v>
      </c>
      <c r="D16" s="978">
        <v>2400000</v>
      </c>
      <c r="E16" s="978">
        <v>2426000</v>
      </c>
      <c r="F16" s="979">
        <v>2400000</v>
      </c>
      <c r="G16" s="12">
        <f t="shared" si="1"/>
        <v>0</v>
      </c>
      <c r="H16" s="144">
        <f t="shared" si="5"/>
        <v>0</v>
      </c>
      <c r="I16" s="973"/>
    </row>
    <row r="17" spans="1:9" x14ac:dyDescent="0.3">
      <c r="A17" s="1514"/>
      <c r="B17" s="1504"/>
      <c r="C17" s="174" t="s">
        <v>73</v>
      </c>
      <c r="D17" s="978"/>
      <c r="E17" s="978"/>
      <c r="F17" s="979"/>
      <c r="G17" s="12"/>
      <c r="H17" s="144"/>
      <c r="I17" s="184"/>
    </row>
    <row r="18" spans="1:9" ht="49.5" x14ac:dyDescent="0.3">
      <c r="A18" s="1514"/>
      <c r="B18" s="1504"/>
      <c r="C18" s="174" t="s">
        <v>75</v>
      </c>
      <c r="D18" s="978">
        <v>36540320</v>
      </c>
      <c r="E18" s="978">
        <v>49074580</v>
      </c>
      <c r="F18" s="979">
        <v>53366640</v>
      </c>
      <c r="G18" s="12">
        <f t="shared" si="1"/>
        <v>16826320</v>
      </c>
      <c r="H18" s="144">
        <f t="shared" si="5"/>
        <v>0.46048638873441722</v>
      </c>
      <c r="I18" s="983" t="s">
        <v>461</v>
      </c>
    </row>
    <row r="19" spans="1:9" x14ac:dyDescent="0.3">
      <c r="A19" s="1514"/>
      <c r="B19" s="1505"/>
      <c r="C19" s="1128" t="s">
        <v>572</v>
      </c>
      <c r="D19" s="982">
        <f>D16+D17+D18</f>
        <v>38940320</v>
      </c>
      <c r="E19" s="982">
        <f t="shared" ref="E19:F19" si="6">E16+E17+E18</f>
        <v>51500580</v>
      </c>
      <c r="F19" s="982">
        <f t="shared" si="6"/>
        <v>55766640</v>
      </c>
      <c r="G19" s="980">
        <f t="shared" si="1"/>
        <v>16826320</v>
      </c>
      <c r="H19" s="981">
        <f t="shared" si="5"/>
        <v>0.4321053345221611</v>
      </c>
      <c r="I19" s="185"/>
    </row>
    <row r="20" spans="1:9" ht="17.25" thickBot="1" x14ac:dyDescent="0.35">
      <c r="A20" s="1515"/>
      <c r="B20" s="1368" t="s">
        <v>665</v>
      </c>
      <c r="C20" s="1369"/>
      <c r="D20" s="97">
        <f>D15+D19</f>
        <v>317733613</v>
      </c>
      <c r="E20" s="97">
        <f t="shared" ref="E20:F20" si="7">E15+E19</f>
        <v>267295260</v>
      </c>
      <c r="F20" s="97">
        <f t="shared" si="7"/>
        <v>360161620</v>
      </c>
      <c r="G20" s="970">
        <f t="shared" si="1"/>
        <v>42428007</v>
      </c>
      <c r="H20" s="974">
        <f t="shared" si="5"/>
        <v>0.13353326580527694</v>
      </c>
      <c r="I20" s="186"/>
    </row>
    <row r="21" spans="1:9" x14ac:dyDescent="0.3">
      <c r="A21" s="1513" t="s">
        <v>286</v>
      </c>
      <c r="B21" s="190" t="s">
        <v>76</v>
      </c>
      <c r="C21" s="191" t="s">
        <v>76</v>
      </c>
      <c r="D21" s="977">
        <v>1680000</v>
      </c>
      <c r="E21" s="977">
        <v>1260000</v>
      </c>
      <c r="F21" s="976">
        <v>1680000</v>
      </c>
      <c r="G21" s="110">
        <f t="shared" si="1"/>
        <v>0</v>
      </c>
      <c r="H21" s="144">
        <f t="shared" si="5"/>
        <v>0</v>
      </c>
      <c r="I21" s="187"/>
    </row>
    <row r="22" spans="1:9" ht="17.25" thickBot="1" x14ac:dyDescent="0.35">
      <c r="A22" s="1515"/>
      <c r="B22" s="1368" t="s">
        <v>665</v>
      </c>
      <c r="C22" s="1369"/>
      <c r="D22" s="96">
        <f>D21</f>
        <v>1680000</v>
      </c>
      <c r="E22" s="96">
        <f t="shared" ref="E22:F22" si="8">E21</f>
        <v>1260000</v>
      </c>
      <c r="F22" s="96">
        <f t="shared" si="8"/>
        <v>1680000</v>
      </c>
      <c r="G22" s="95">
        <f t="shared" si="1"/>
        <v>0</v>
      </c>
      <c r="H22" s="145">
        <f t="shared" si="5"/>
        <v>0</v>
      </c>
      <c r="I22" s="186"/>
    </row>
    <row r="23" spans="1:9" x14ac:dyDescent="0.3">
      <c r="A23" s="1496" t="s">
        <v>288</v>
      </c>
      <c r="B23" s="371" t="s">
        <v>287</v>
      </c>
      <c r="C23" s="468" t="s">
        <v>77</v>
      </c>
      <c r="D23" s="977">
        <v>0</v>
      </c>
      <c r="E23" s="976">
        <v>1717828</v>
      </c>
      <c r="F23" s="976">
        <v>1717828</v>
      </c>
      <c r="G23" s="9">
        <f t="shared" si="1"/>
        <v>1717828</v>
      </c>
      <c r="H23" s="144" t="e">
        <f t="shared" si="5"/>
        <v>#DIV/0!</v>
      </c>
      <c r="I23" s="984" t="s">
        <v>462</v>
      </c>
    </row>
    <row r="24" spans="1:9" ht="17.25" thickBot="1" x14ac:dyDescent="0.35">
      <c r="A24" s="1497"/>
      <c r="B24" s="1368" t="s">
        <v>665</v>
      </c>
      <c r="C24" s="1369"/>
      <c r="D24" s="96">
        <f>D23</f>
        <v>0</v>
      </c>
      <c r="E24" s="97">
        <f t="shared" ref="E24:F24" si="9">E23</f>
        <v>1717828</v>
      </c>
      <c r="F24" s="97">
        <f t="shared" si="9"/>
        <v>1717828</v>
      </c>
      <c r="G24" s="970">
        <f t="shared" si="1"/>
        <v>1717828</v>
      </c>
      <c r="H24" s="974" t="e">
        <f t="shared" si="5"/>
        <v>#DIV/0!</v>
      </c>
      <c r="I24" s="186"/>
    </row>
    <row r="25" spans="1:9" x14ac:dyDescent="0.3">
      <c r="A25" s="1513" t="s">
        <v>246</v>
      </c>
      <c r="B25" s="1505" t="s">
        <v>172</v>
      </c>
      <c r="C25" s="190" t="s">
        <v>118</v>
      </c>
      <c r="D25" s="976">
        <v>5387</v>
      </c>
      <c r="E25" s="976">
        <v>8101</v>
      </c>
      <c r="F25" s="976">
        <v>15170</v>
      </c>
      <c r="G25" s="110">
        <f t="shared" si="1"/>
        <v>9783</v>
      </c>
      <c r="H25" s="144">
        <f t="shared" si="5"/>
        <v>1.8160386114720624</v>
      </c>
      <c r="I25" s="187"/>
    </row>
    <row r="26" spans="1:9" x14ac:dyDescent="0.3">
      <c r="A26" s="1514"/>
      <c r="B26" s="1506"/>
      <c r="C26" s="172" t="s">
        <v>10</v>
      </c>
      <c r="D26" s="978">
        <v>150000</v>
      </c>
      <c r="E26" s="978">
        <v>48010</v>
      </c>
      <c r="F26" s="978">
        <v>48010</v>
      </c>
      <c r="G26" s="23">
        <f t="shared" si="1"/>
        <v>-101990</v>
      </c>
      <c r="H26" s="144">
        <f t="shared" si="5"/>
        <v>-0.67993333333333328</v>
      </c>
      <c r="I26" s="188"/>
    </row>
    <row r="27" spans="1:9" ht="17.25" thickBot="1" x14ac:dyDescent="0.35">
      <c r="A27" s="1515"/>
      <c r="B27" s="1368" t="s">
        <v>665</v>
      </c>
      <c r="C27" s="1369"/>
      <c r="D27" s="97">
        <f>D25+D26</f>
        <v>155387</v>
      </c>
      <c r="E27" s="97">
        <f t="shared" ref="E27:F27" si="10">E25+E26</f>
        <v>56111</v>
      </c>
      <c r="F27" s="97">
        <f t="shared" si="10"/>
        <v>63180</v>
      </c>
      <c r="G27" s="197">
        <f t="shared" si="1"/>
        <v>-92207</v>
      </c>
      <c r="H27" s="974">
        <f t="shared" si="5"/>
        <v>-0.59340227946996849</v>
      </c>
      <c r="I27" s="186"/>
    </row>
    <row r="28" spans="1:9" x14ac:dyDescent="0.3">
      <c r="A28" s="1513" t="s">
        <v>289</v>
      </c>
      <c r="B28" s="1505" t="s">
        <v>290</v>
      </c>
      <c r="C28" s="190" t="s">
        <v>78</v>
      </c>
      <c r="D28" s="986">
        <v>5000000</v>
      </c>
      <c r="E28" s="986">
        <v>30900372</v>
      </c>
      <c r="F28" s="990">
        <v>30900372</v>
      </c>
      <c r="G28" s="110">
        <f t="shared" si="1"/>
        <v>25900372</v>
      </c>
      <c r="H28" s="144">
        <f t="shared" si="5"/>
        <v>5.1800743999999996</v>
      </c>
      <c r="I28" s="985" t="s">
        <v>463</v>
      </c>
    </row>
    <row r="29" spans="1:9" x14ac:dyDescent="0.3">
      <c r="A29" s="1514"/>
      <c r="B29" s="1506"/>
      <c r="C29" s="172" t="s">
        <v>119</v>
      </c>
      <c r="D29" s="986"/>
      <c r="E29" s="986"/>
      <c r="F29" s="13"/>
      <c r="G29" s="12"/>
      <c r="H29" s="144"/>
      <c r="I29" s="14"/>
    </row>
    <row r="30" spans="1:9" ht="17.25" thickBot="1" x14ac:dyDescent="0.35">
      <c r="A30" s="1516"/>
      <c r="B30" s="1368" t="s">
        <v>665</v>
      </c>
      <c r="C30" s="1369"/>
      <c r="D30" s="988">
        <f>D28+D29</f>
        <v>5000000</v>
      </c>
      <c r="E30" s="988">
        <f t="shared" ref="E30:F30" si="11">E28+E29</f>
        <v>30900372</v>
      </c>
      <c r="F30" s="988">
        <f t="shared" si="11"/>
        <v>30900372</v>
      </c>
      <c r="G30" s="970">
        <f t="shared" si="1"/>
        <v>25900372</v>
      </c>
      <c r="H30" s="989">
        <f t="shared" si="5"/>
        <v>5.1800743999999996</v>
      </c>
      <c r="I30" s="140"/>
    </row>
    <row r="31" spans="1:9" ht="17.25" thickBot="1" x14ac:dyDescent="0.35">
      <c r="A31" s="1507" t="s">
        <v>670</v>
      </c>
      <c r="B31" s="1508"/>
      <c r="C31" s="1508"/>
      <c r="D31" s="987">
        <f>SUM(D10,D13,D20,D22,D24,D27,D30)</f>
        <v>538290000</v>
      </c>
      <c r="E31" s="987">
        <f>SUM(E10,E13,E20,E22,E24,E27,E30)</f>
        <v>457342170</v>
      </c>
      <c r="F31" s="987">
        <f>SUM(F10,F13,F20,F22,F24,F27,F30)</f>
        <v>599810000</v>
      </c>
      <c r="G31" s="991">
        <f t="shared" si="1"/>
        <v>61520000</v>
      </c>
      <c r="H31" s="992">
        <f t="shared" si="5"/>
        <v>0.11428783741106095</v>
      </c>
      <c r="I31" s="98"/>
    </row>
    <row r="32" spans="1:9" ht="23.45" customHeight="1" thickBot="1" x14ac:dyDescent="0.35">
      <c r="A32" s="1509" t="s">
        <v>721</v>
      </c>
      <c r="B32" s="1510"/>
      <c r="C32" s="1510"/>
      <c r="D32" s="1510"/>
      <c r="E32" s="1510"/>
      <c r="F32" s="1510"/>
      <c r="G32" s="1510"/>
      <c r="H32" s="1510"/>
      <c r="I32" s="1510"/>
    </row>
    <row r="33" spans="1:9" ht="17.25" customHeight="1" x14ac:dyDescent="0.3">
      <c r="A33" s="1511" t="s">
        <v>14</v>
      </c>
      <c r="B33" s="1512"/>
      <c r="C33" s="1512"/>
      <c r="D33" s="1273" t="s">
        <v>237</v>
      </c>
      <c r="E33" s="1273" t="s">
        <v>464</v>
      </c>
      <c r="F33" s="1273" t="s">
        <v>310</v>
      </c>
      <c r="G33" s="1273" t="s">
        <v>59</v>
      </c>
      <c r="H33" s="1275" t="s">
        <v>49</v>
      </c>
      <c r="I33" s="1277" t="s">
        <v>61</v>
      </c>
    </row>
    <row r="34" spans="1:9" ht="17.25" customHeight="1" thickBot="1" x14ac:dyDescent="0.35">
      <c r="A34" s="105" t="s">
        <v>0</v>
      </c>
      <c r="B34" s="104" t="s">
        <v>1</v>
      </c>
      <c r="C34" s="85" t="s">
        <v>2</v>
      </c>
      <c r="D34" s="1274"/>
      <c r="E34" s="1274"/>
      <c r="F34" s="1274"/>
      <c r="G34" s="1274"/>
      <c r="H34" s="1276"/>
      <c r="I34" s="1278"/>
    </row>
    <row r="35" spans="1:9" x14ac:dyDescent="0.3">
      <c r="A35" s="1269" t="s">
        <v>291</v>
      </c>
      <c r="B35" s="176" t="s">
        <v>202</v>
      </c>
      <c r="C35" s="175" t="s">
        <v>79</v>
      </c>
      <c r="D35" s="996">
        <v>47035400</v>
      </c>
      <c r="E35" s="996">
        <v>36544330</v>
      </c>
      <c r="F35" s="997">
        <v>49897200</v>
      </c>
      <c r="G35" s="997">
        <f t="shared" ref="G35:G40" si="12">F35-D35</f>
        <v>2861800</v>
      </c>
      <c r="H35" s="998">
        <f>G35/D35*100%</f>
        <v>6.0843534869481283E-2</v>
      </c>
      <c r="I35" s="7"/>
    </row>
    <row r="36" spans="1:9" x14ac:dyDescent="0.3">
      <c r="A36" s="1269"/>
      <c r="B36" s="1256" t="s">
        <v>292</v>
      </c>
      <c r="C36" s="176" t="s">
        <v>80</v>
      </c>
      <c r="D36" s="999">
        <v>265538784</v>
      </c>
      <c r="E36" s="999">
        <v>217471260</v>
      </c>
      <c r="F36" s="1000">
        <v>292326340</v>
      </c>
      <c r="G36" s="1000">
        <f t="shared" si="12"/>
        <v>26787556</v>
      </c>
      <c r="H36" s="1001">
        <f t="shared" ref="H36:H40" si="13">G36/D36*100%</f>
        <v>0.10088001306807219</v>
      </c>
      <c r="I36" s="1006" t="s">
        <v>470</v>
      </c>
    </row>
    <row r="37" spans="1:9" x14ac:dyDescent="0.3">
      <c r="A37" s="1269"/>
      <c r="B37" s="1256"/>
      <c r="C37" s="176" t="s">
        <v>81</v>
      </c>
      <c r="D37" s="1002">
        <v>9480000</v>
      </c>
      <c r="E37" s="1002">
        <v>9811590</v>
      </c>
      <c r="F37" s="1003">
        <v>20800000</v>
      </c>
      <c r="G37" s="1000">
        <f t="shared" si="12"/>
        <v>11320000</v>
      </c>
      <c r="H37" s="1001">
        <f t="shared" si="13"/>
        <v>1.1940928270042195</v>
      </c>
      <c r="I37" s="1006" t="s">
        <v>471</v>
      </c>
    </row>
    <row r="38" spans="1:9" x14ac:dyDescent="0.3">
      <c r="A38" s="1269"/>
      <c r="B38" s="176" t="s">
        <v>82</v>
      </c>
      <c r="C38" s="176" t="s">
        <v>82</v>
      </c>
      <c r="D38" s="999">
        <v>320000</v>
      </c>
      <c r="E38" s="1002">
        <v>0</v>
      </c>
      <c r="F38" s="1000">
        <v>320000</v>
      </c>
      <c r="G38" s="1003">
        <f t="shared" si="12"/>
        <v>0</v>
      </c>
      <c r="H38" s="1001">
        <f t="shared" si="13"/>
        <v>0</v>
      </c>
      <c r="I38" s="17"/>
    </row>
    <row r="39" spans="1:9" x14ac:dyDescent="0.3">
      <c r="A39" s="1269"/>
      <c r="B39" s="1256" t="s">
        <v>205</v>
      </c>
      <c r="C39" s="176" t="s">
        <v>83</v>
      </c>
      <c r="D39" s="999">
        <v>36522234</v>
      </c>
      <c r="E39" s="999">
        <v>32679302</v>
      </c>
      <c r="F39" s="1000">
        <v>39544153</v>
      </c>
      <c r="G39" s="1000">
        <f t="shared" si="12"/>
        <v>3021919</v>
      </c>
      <c r="H39" s="1001">
        <f t="shared" si="13"/>
        <v>8.2741899085362627E-2</v>
      </c>
      <c r="I39" s="17"/>
    </row>
    <row r="40" spans="1:9" ht="33" x14ac:dyDescent="0.3">
      <c r="A40" s="1269"/>
      <c r="B40" s="1256"/>
      <c r="C40" s="176" t="s">
        <v>84</v>
      </c>
      <c r="D40" s="999">
        <v>29406783</v>
      </c>
      <c r="E40" s="999">
        <v>29752730</v>
      </c>
      <c r="F40" s="1003">
        <v>35311451</v>
      </c>
      <c r="G40" s="1000">
        <f t="shared" si="12"/>
        <v>5904668</v>
      </c>
      <c r="H40" s="1001">
        <f t="shared" si="13"/>
        <v>0.20079272186964484</v>
      </c>
      <c r="I40" s="17"/>
    </row>
    <row r="41" spans="1:9" ht="17.25" thickBot="1" x14ac:dyDescent="0.35">
      <c r="A41" s="1270"/>
      <c r="B41" s="1259" t="s">
        <v>671</v>
      </c>
      <c r="C41" s="1259"/>
      <c r="D41" s="29">
        <f>SUM(D35:D40)</f>
        <v>388303201</v>
      </c>
      <c r="E41" s="29">
        <f t="shared" ref="E41:F41" si="14">SUM(E35:E40)</f>
        <v>326259212</v>
      </c>
      <c r="F41" s="29">
        <f t="shared" si="14"/>
        <v>438199144</v>
      </c>
      <c r="G41" s="593">
        <f t="shared" ref="G41:G79" si="15">F41-D41</f>
        <v>49895943</v>
      </c>
      <c r="H41" s="1004">
        <f>G41/D41*100%</f>
        <v>0.12849737749135887</v>
      </c>
      <c r="I41" s="21"/>
    </row>
    <row r="42" spans="1:9" ht="33" x14ac:dyDescent="0.3">
      <c r="A42" s="1268" t="s">
        <v>131</v>
      </c>
      <c r="B42" s="1271" t="s">
        <v>206</v>
      </c>
      <c r="C42" s="192" t="s">
        <v>22</v>
      </c>
      <c r="D42" s="996">
        <v>16368999</v>
      </c>
      <c r="E42" s="996">
        <v>25515511</v>
      </c>
      <c r="F42" s="997">
        <v>24256056</v>
      </c>
      <c r="G42" s="997">
        <f t="shared" si="15"/>
        <v>7887057</v>
      </c>
      <c r="H42" s="998">
        <f t="shared" ref="H42:H47" si="16">G42/D42*100%</f>
        <v>0.48182891330129596</v>
      </c>
      <c r="I42" s="1007" t="s">
        <v>472</v>
      </c>
    </row>
    <row r="43" spans="1:9" ht="33" x14ac:dyDescent="0.3">
      <c r="A43" s="1269"/>
      <c r="B43" s="1263"/>
      <c r="C43" s="178" t="s">
        <v>85</v>
      </c>
      <c r="D43" s="999">
        <v>7520000</v>
      </c>
      <c r="E43" s="999">
        <v>5713000</v>
      </c>
      <c r="F43" s="1000">
        <v>7520000</v>
      </c>
      <c r="G43" s="1003">
        <f t="shared" si="15"/>
        <v>0</v>
      </c>
      <c r="H43" s="1001">
        <f t="shared" si="16"/>
        <v>0</v>
      </c>
      <c r="I43" s="1005"/>
    </row>
    <row r="44" spans="1:9" x14ac:dyDescent="0.3">
      <c r="A44" s="1269"/>
      <c r="B44" s="1263"/>
      <c r="C44" s="179" t="s">
        <v>86</v>
      </c>
      <c r="D44" s="999">
        <v>3740000</v>
      </c>
      <c r="E44" s="999">
        <v>4714000</v>
      </c>
      <c r="F44" s="1000">
        <v>5240000</v>
      </c>
      <c r="G44" s="1000">
        <f t="shared" si="15"/>
        <v>1500000</v>
      </c>
      <c r="H44" s="1001">
        <f t="shared" si="16"/>
        <v>0.40106951871657753</v>
      </c>
      <c r="I44" s="1005"/>
    </row>
    <row r="45" spans="1:9" x14ac:dyDescent="0.3">
      <c r="A45" s="1269"/>
      <c r="B45" s="1263"/>
      <c r="C45" s="179" t="s">
        <v>87</v>
      </c>
      <c r="D45" s="999">
        <v>400000</v>
      </c>
      <c r="E45" s="1002">
        <v>0</v>
      </c>
      <c r="F45" s="999">
        <v>400000</v>
      </c>
      <c r="G45" s="1003">
        <f t="shared" si="15"/>
        <v>0</v>
      </c>
      <c r="H45" s="1001">
        <f t="shared" si="16"/>
        <v>0</v>
      </c>
      <c r="I45" s="1008"/>
    </row>
    <row r="46" spans="1:9" x14ac:dyDescent="0.3">
      <c r="A46" s="1269"/>
      <c r="B46" s="1263"/>
      <c r="C46" s="179" t="s">
        <v>88</v>
      </c>
      <c r="D46" s="1009">
        <v>17900000</v>
      </c>
      <c r="E46" s="1009">
        <v>10785700</v>
      </c>
      <c r="F46" s="999">
        <v>17900000</v>
      </c>
      <c r="G46" s="1003">
        <f t="shared" si="15"/>
        <v>0</v>
      </c>
      <c r="H46" s="1001">
        <f t="shared" si="16"/>
        <v>0</v>
      </c>
      <c r="I46" s="1008"/>
    </row>
    <row r="47" spans="1:9" x14ac:dyDescent="0.3">
      <c r="A47" s="1269"/>
      <c r="B47" s="1263"/>
      <c r="C47" s="174" t="s">
        <v>89</v>
      </c>
      <c r="D47" s="1009">
        <v>2314000</v>
      </c>
      <c r="E47" s="1009">
        <v>1740430</v>
      </c>
      <c r="F47" s="999">
        <v>3959000</v>
      </c>
      <c r="G47" s="1000">
        <f t="shared" si="15"/>
        <v>1645000</v>
      </c>
      <c r="H47" s="1001">
        <f t="shared" si="16"/>
        <v>0.71089023336214352</v>
      </c>
      <c r="I47" s="1008"/>
    </row>
    <row r="48" spans="1:9" x14ac:dyDescent="0.3">
      <c r="A48" s="1269"/>
      <c r="B48" s="1263"/>
      <c r="C48" s="174" t="s">
        <v>25</v>
      </c>
      <c r="D48" s="1009"/>
      <c r="E48" s="1009"/>
      <c r="F48" s="999"/>
      <c r="G48" s="1000"/>
      <c r="H48" s="1001"/>
      <c r="I48" s="1008"/>
    </row>
    <row r="49" spans="1:9" ht="17.25" thickBot="1" x14ac:dyDescent="0.35">
      <c r="A49" s="1269"/>
      <c r="B49" s="1264"/>
      <c r="C49" s="1109" t="s">
        <v>483</v>
      </c>
      <c r="D49" s="86">
        <f>SUM(D42:D48)</f>
        <v>48242999</v>
      </c>
      <c r="E49" s="86">
        <f t="shared" ref="E49:F49" si="17">SUM(E42:E48)</f>
        <v>48468641</v>
      </c>
      <c r="F49" s="86">
        <f t="shared" si="17"/>
        <v>59275056</v>
      </c>
      <c r="G49" s="114">
        <f t="shared" si="15"/>
        <v>11032057</v>
      </c>
      <c r="H49" s="196">
        <f>G49/D49*100%</f>
        <v>0.22867684904912317</v>
      </c>
      <c r="I49" s="21"/>
    </row>
    <row r="50" spans="1:9" x14ac:dyDescent="0.3">
      <c r="A50" s="1269"/>
      <c r="B50" s="1263" t="s">
        <v>207</v>
      </c>
      <c r="C50" s="193" t="s">
        <v>90</v>
      </c>
      <c r="D50" s="1009">
        <v>500000</v>
      </c>
      <c r="E50" s="1009">
        <v>50000</v>
      </c>
      <c r="F50" s="996">
        <v>500000</v>
      </c>
      <c r="G50" s="1012">
        <f t="shared" si="15"/>
        <v>0</v>
      </c>
      <c r="H50" s="998">
        <f t="shared" ref="H50:H52" si="18">G50/D50*100%</f>
        <v>0</v>
      </c>
      <c r="I50" s="24"/>
    </row>
    <row r="51" spans="1:9" x14ac:dyDescent="0.3">
      <c r="A51" s="1269"/>
      <c r="B51" s="1263"/>
      <c r="C51" s="193" t="s">
        <v>91</v>
      </c>
      <c r="D51" s="1009">
        <v>4800000</v>
      </c>
      <c r="E51" s="1009">
        <v>3200000</v>
      </c>
      <c r="F51" s="999">
        <v>4800000</v>
      </c>
      <c r="G51" s="1003">
        <f t="shared" si="15"/>
        <v>0</v>
      </c>
      <c r="H51" s="1001">
        <f t="shared" si="18"/>
        <v>0</v>
      </c>
      <c r="I51" s="20"/>
    </row>
    <row r="52" spans="1:9" x14ac:dyDescent="0.3">
      <c r="A52" s="1269"/>
      <c r="B52" s="1263"/>
      <c r="C52" s="193" t="s">
        <v>92</v>
      </c>
      <c r="D52" s="1009">
        <v>200000</v>
      </c>
      <c r="E52" s="1009">
        <v>99300</v>
      </c>
      <c r="F52" s="999">
        <v>200000</v>
      </c>
      <c r="G52" s="1003">
        <f t="shared" si="15"/>
        <v>0</v>
      </c>
      <c r="H52" s="1001">
        <f t="shared" si="18"/>
        <v>0</v>
      </c>
      <c r="I52" s="20"/>
    </row>
    <row r="53" spans="1:9" ht="17.25" thickBot="1" x14ac:dyDescent="0.35">
      <c r="A53" s="1269"/>
      <c r="B53" s="1264"/>
      <c r="C53" s="1109" t="s">
        <v>483</v>
      </c>
      <c r="D53" s="111">
        <f>SUM(D50:D52)</f>
        <v>5500000</v>
      </c>
      <c r="E53" s="111">
        <f t="shared" ref="E53:F53" si="19">SUM(E50:E52)</f>
        <v>3349300</v>
      </c>
      <c r="F53" s="111">
        <f t="shared" si="19"/>
        <v>5500000</v>
      </c>
      <c r="G53" s="1013">
        <f t="shared" si="15"/>
        <v>0</v>
      </c>
      <c r="H53" s="1004">
        <f>G53/D53*100%</f>
        <v>0</v>
      </c>
      <c r="I53" s="21"/>
    </row>
    <row r="54" spans="1:9" ht="17.25" thickBot="1" x14ac:dyDescent="0.35">
      <c r="A54" s="1270"/>
      <c r="B54" s="1259" t="s">
        <v>671</v>
      </c>
      <c r="C54" s="1259"/>
      <c r="D54" s="111">
        <f>D49+D53</f>
        <v>53742999</v>
      </c>
      <c r="E54" s="111">
        <f t="shared" ref="E54:F54" si="20">E49+E53</f>
        <v>51817941</v>
      </c>
      <c r="F54" s="111">
        <f t="shared" si="20"/>
        <v>64775056</v>
      </c>
      <c r="G54" s="34">
        <f t="shared" si="15"/>
        <v>11032057</v>
      </c>
      <c r="H54" s="1004">
        <f>G54/D54*100%</f>
        <v>0.205274309310502</v>
      </c>
      <c r="I54" s="87"/>
    </row>
    <row r="55" spans="1:9" x14ac:dyDescent="0.3">
      <c r="A55" s="1268" t="s">
        <v>294</v>
      </c>
      <c r="B55" s="1271" t="s">
        <v>293</v>
      </c>
      <c r="C55" s="192" t="s">
        <v>93</v>
      </c>
      <c r="D55" s="996">
        <v>750000</v>
      </c>
      <c r="E55" s="996">
        <v>721770</v>
      </c>
      <c r="F55" s="997">
        <v>1200000</v>
      </c>
      <c r="G55" s="997">
        <f t="shared" si="15"/>
        <v>450000</v>
      </c>
      <c r="H55" s="998">
        <f t="shared" ref="H55:H59" si="21">G55/D55*100%</f>
        <v>0.6</v>
      </c>
      <c r="I55" s="7"/>
    </row>
    <row r="56" spans="1:9" x14ac:dyDescent="0.3">
      <c r="A56" s="1269"/>
      <c r="B56" s="1263"/>
      <c r="C56" s="178" t="s">
        <v>120</v>
      </c>
      <c r="D56" s="999">
        <v>3000000</v>
      </c>
      <c r="E56" s="999">
        <v>1790740</v>
      </c>
      <c r="F56" s="1000">
        <v>3000000</v>
      </c>
      <c r="G56" s="1003">
        <f t="shared" si="15"/>
        <v>0</v>
      </c>
      <c r="H56" s="1001">
        <f t="shared" si="21"/>
        <v>0</v>
      </c>
      <c r="I56" s="17"/>
    </row>
    <row r="57" spans="1:9" x14ac:dyDescent="0.3">
      <c r="A57" s="1269"/>
      <c r="B57" s="1263"/>
      <c r="C57" s="178" t="s">
        <v>94</v>
      </c>
      <c r="D57" s="999">
        <v>7100000</v>
      </c>
      <c r="E57" s="999">
        <v>6641163</v>
      </c>
      <c r="F57" s="1000">
        <v>10310000</v>
      </c>
      <c r="G57" s="1000">
        <f t="shared" si="15"/>
        <v>3210000</v>
      </c>
      <c r="H57" s="1001">
        <f t="shared" si="21"/>
        <v>0.45211267605633804</v>
      </c>
      <c r="I57" s="17"/>
    </row>
    <row r="58" spans="1:9" x14ac:dyDescent="0.3">
      <c r="A58" s="1269"/>
      <c r="B58" s="1263"/>
      <c r="C58" s="179" t="s">
        <v>95</v>
      </c>
      <c r="D58" s="1010">
        <v>700000</v>
      </c>
      <c r="E58" s="1010">
        <v>260000</v>
      </c>
      <c r="F58" s="968">
        <v>700000</v>
      </c>
      <c r="G58" s="1003">
        <f t="shared" si="15"/>
        <v>0</v>
      </c>
      <c r="H58" s="1001">
        <f t="shared" si="21"/>
        <v>0</v>
      </c>
      <c r="I58" s="17"/>
    </row>
    <row r="59" spans="1:9" x14ac:dyDescent="0.3">
      <c r="A59" s="1269"/>
      <c r="B59" s="1272"/>
      <c r="C59" s="179" t="s">
        <v>96</v>
      </c>
      <c r="D59" s="1010">
        <v>50212800</v>
      </c>
      <c r="E59" s="1010">
        <v>41217915</v>
      </c>
      <c r="F59" s="1011">
        <v>57164800</v>
      </c>
      <c r="G59" s="1000">
        <f t="shared" si="15"/>
        <v>6952000</v>
      </c>
      <c r="H59" s="1001">
        <f t="shared" si="21"/>
        <v>0.13845075359270942</v>
      </c>
      <c r="I59" s="1006" t="s">
        <v>474</v>
      </c>
    </row>
    <row r="60" spans="1:9" ht="17.25" thickBot="1" x14ac:dyDescent="0.35">
      <c r="A60" s="1270"/>
      <c r="B60" s="1259" t="s">
        <v>671</v>
      </c>
      <c r="C60" s="1259"/>
      <c r="D60" s="592">
        <f>SUM(D55:D59)</f>
        <v>61762800</v>
      </c>
      <c r="E60" s="592">
        <f t="shared" ref="E60:F60" si="22">SUM(E55:E59)</f>
        <v>50631588</v>
      </c>
      <c r="F60" s="592">
        <f t="shared" si="22"/>
        <v>72374800</v>
      </c>
      <c r="G60" s="593">
        <f t="shared" si="15"/>
        <v>10612000</v>
      </c>
      <c r="H60" s="1004">
        <f>G60/D60*100%</f>
        <v>0.17181863516550416</v>
      </c>
      <c r="I60" s="27"/>
    </row>
    <row r="61" spans="1:9" ht="33" x14ac:dyDescent="0.3">
      <c r="A61" s="1252" t="s">
        <v>295</v>
      </c>
      <c r="B61" s="175" t="s">
        <v>211</v>
      </c>
      <c r="C61" s="173" t="s">
        <v>97</v>
      </c>
      <c r="D61" s="1014">
        <v>19128000</v>
      </c>
      <c r="E61" s="1014">
        <v>8891000</v>
      </c>
      <c r="F61" s="1015">
        <v>9128000</v>
      </c>
      <c r="G61" s="997">
        <f t="shared" si="15"/>
        <v>-10000000</v>
      </c>
      <c r="H61" s="998">
        <f t="shared" ref="H61:H62" si="23">G61/D61*100%</f>
        <v>-0.52279381012128812</v>
      </c>
      <c r="I61" s="1007" t="s">
        <v>458</v>
      </c>
    </row>
    <row r="62" spans="1:9" x14ac:dyDescent="0.3">
      <c r="A62" s="1253"/>
      <c r="B62" s="176" t="s">
        <v>296</v>
      </c>
      <c r="C62" s="194" t="s">
        <v>98</v>
      </c>
      <c r="D62" s="1016">
        <v>11833000</v>
      </c>
      <c r="E62" s="1016">
        <v>7028370</v>
      </c>
      <c r="F62" s="968">
        <v>8483000</v>
      </c>
      <c r="G62" s="1000">
        <f t="shared" si="15"/>
        <v>-3350000</v>
      </c>
      <c r="H62" s="1001">
        <f t="shared" si="23"/>
        <v>-0.28310656638215159</v>
      </c>
      <c r="I62" s="1006" t="s">
        <v>473</v>
      </c>
    </row>
    <row r="63" spans="1:9" ht="17.25" thickBot="1" x14ac:dyDescent="0.35">
      <c r="A63" s="1254"/>
      <c r="B63" s="1259" t="s">
        <v>671</v>
      </c>
      <c r="C63" s="1259"/>
      <c r="D63" s="111">
        <f>D61+D62</f>
        <v>30961000</v>
      </c>
      <c r="E63" s="111">
        <f t="shared" ref="E63:F63" si="24">E61+E62</f>
        <v>15919370</v>
      </c>
      <c r="F63" s="111">
        <f t="shared" si="24"/>
        <v>17611000</v>
      </c>
      <c r="G63" s="593">
        <f t="shared" si="15"/>
        <v>-13350000</v>
      </c>
      <c r="H63" s="1004">
        <f>G63/D63*100%</f>
        <v>-0.4311876231387875</v>
      </c>
      <c r="I63" s="21"/>
    </row>
    <row r="64" spans="1:9" x14ac:dyDescent="0.3">
      <c r="A64" s="1252" t="s">
        <v>298</v>
      </c>
      <c r="B64" s="1255" t="s">
        <v>42</v>
      </c>
      <c r="C64" s="175" t="s">
        <v>42</v>
      </c>
      <c r="D64" s="1017">
        <v>0</v>
      </c>
      <c r="E64" s="1017">
        <v>0</v>
      </c>
      <c r="F64" s="1018">
        <v>0</v>
      </c>
      <c r="G64" s="1012">
        <f t="shared" si="15"/>
        <v>0</v>
      </c>
      <c r="H64" s="998" t="e">
        <f t="shared" ref="H64:H69" si="25">G64/D64*100%</f>
        <v>#DIV/0!</v>
      </c>
      <c r="I64" s="7"/>
    </row>
    <row r="65" spans="1:9" x14ac:dyDescent="0.3">
      <c r="A65" s="1253"/>
      <c r="B65" s="1256"/>
      <c r="C65" s="176" t="s">
        <v>99</v>
      </c>
      <c r="D65" s="967">
        <v>1720000</v>
      </c>
      <c r="E65" s="967">
        <v>1941100</v>
      </c>
      <c r="F65" s="1011">
        <v>2520000</v>
      </c>
      <c r="G65" s="1000">
        <f t="shared" si="15"/>
        <v>800000</v>
      </c>
      <c r="H65" s="1001">
        <f t="shared" si="25"/>
        <v>0.46511627906976744</v>
      </c>
      <c r="I65" s="17"/>
    </row>
    <row r="66" spans="1:9" ht="17.25" thickBot="1" x14ac:dyDescent="0.35">
      <c r="A66" s="1253"/>
      <c r="B66" s="1262"/>
      <c r="C66" s="1112" t="s">
        <v>572</v>
      </c>
      <c r="D66" s="969">
        <f>D64+D65</f>
        <v>1720000</v>
      </c>
      <c r="E66" s="969">
        <f t="shared" ref="E66:F66" si="26">E64+E65</f>
        <v>1941100</v>
      </c>
      <c r="F66" s="969">
        <f t="shared" si="26"/>
        <v>2520000</v>
      </c>
      <c r="G66" s="593">
        <f t="shared" si="15"/>
        <v>800000</v>
      </c>
      <c r="H66" s="1019">
        <f t="shared" si="25"/>
        <v>0.46511627906976744</v>
      </c>
      <c r="I66" s="27"/>
    </row>
    <row r="67" spans="1:9" x14ac:dyDescent="0.3">
      <c r="A67" s="1253"/>
      <c r="B67" s="1271" t="s">
        <v>297</v>
      </c>
      <c r="C67" s="175" t="s">
        <v>100</v>
      </c>
      <c r="D67" s="1014">
        <v>1300000</v>
      </c>
      <c r="E67" s="1016">
        <v>2530000</v>
      </c>
      <c r="F67" s="1015">
        <v>3830000</v>
      </c>
      <c r="G67" s="997">
        <f t="shared" si="15"/>
        <v>2530000</v>
      </c>
      <c r="H67" s="998">
        <f t="shared" si="25"/>
        <v>1.9461538461538461</v>
      </c>
      <c r="I67" s="1007" t="s">
        <v>475</v>
      </c>
    </row>
    <row r="68" spans="1:9" ht="17.25" thickBot="1" x14ac:dyDescent="0.35">
      <c r="A68" s="1253"/>
      <c r="B68" s="1264"/>
      <c r="C68" s="1112" t="s">
        <v>572</v>
      </c>
      <c r="D68" s="1021">
        <v>1300000</v>
      </c>
      <c r="E68" s="1021">
        <v>2530000</v>
      </c>
      <c r="F68" s="1022">
        <v>3830000</v>
      </c>
      <c r="G68" s="1023">
        <f t="shared" si="15"/>
        <v>2530000</v>
      </c>
      <c r="H68" s="1137">
        <f t="shared" si="25"/>
        <v>1.9461538461538461</v>
      </c>
      <c r="I68" s="27"/>
    </row>
    <row r="69" spans="1:9" ht="17.25" thickBot="1" x14ac:dyDescent="0.35">
      <c r="A69" s="1254"/>
      <c r="B69" s="1500" t="s">
        <v>671</v>
      </c>
      <c r="C69" s="1500"/>
      <c r="D69" s="111">
        <f>D66+D68</f>
        <v>3020000</v>
      </c>
      <c r="E69" s="111">
        <f t="shared" ref="E69:F69" si="27">E66+E68</f>
        <v>4471100</v>
      </c>
      <c r="F69" s="111">
        <f t="shared" si="27"/>
        <v>6350000</v>
      </c>
      <c r="G69" s="34">
        <f t="shared" si="15"/>
        <v>3330000</v>
      </c>
      <c r="H69" s="1024">
        <f t="shared" si="25"/>
        <v>1.1026490066225165</v>
      </c>
      <c r="I69" s="87"/>
    </row>
    <row r="70" spans="1:9" x14ac:dyDescent="0.3">
      <c r="A70" s="1253" t="s">
        <v>101</v>
      </c>
      <c r="B70" s="195" t="s">
        <v>300</v>
      </c>
      <c r="C70" s="195" t="s">
        <v>101</v>
      </c>
      <c r="D70" s="108"/>
      <c r="E70" s="108"/>
      <c r="F70" s="90"/>
      <c r="G70" s="89"/>
      <c r="H70" s="141"/>
      <c r="I70" s="24"/>
    </row>
    <row r="71" spans="1:9" ht="17.25" thickBot="1" x14ac:dyDescent="0.35">
      <c r="A71" s="1254"/>
      <c r="B71" s="1259" t="s">
        <v>671</v>
      </c>
      <c r="C71" s="1259"/>
      <c r="D71" s="29"/>
      <c r="E71" s="29"/>
      <c r="F71" s="29"/>
      <c r="G71" s="114"/>
      <c r="H71" s="196"/>
      <c r="I71" s="21"/>
    </row>
    <row r="72" spans="1:9" x14ac:dyDescent="0.3">
      <c r="A72" s="1266" t="s">
        <v>268</v>
      </c>
      <c r="B72" s="180" t="s">
        <v>5</v>
      </c>
      <c r="C72" s="180" t="s">
        <v>8</v>
      </c>
      <c r="D72" s="32"/>
      <c r="E72" s="32"/>
      <c r="F72" s="30"/>
      <c r="G72" s="89"/>
      <c r="H72" s="141"/>
      <c r="I72" s="31"/>
    </row>
    <row r="73" spans="1:9" ht="17.25" thickBot="1" x14ac:dyDescent="0.35">
      <c r="A73" s="1267"/>
      <c r="B73" s="1259" t="s">
        <v>671</v>
      </c>
      <c r="C73" s="1259"/>
      <c r="D73" s="22"/>
      <c r="E73" s="22"/>
      <c r="F73" s="91"/>
      <c r="G73" s="114"/>
      <c r="H73" s="196"/>
      <c r="I73" s="92"/>
    </row>
    <row r="74" spans="1:9" x14ac:dyDescent="0.3">
      <c r="A74" s="1252" t="s">
        <v>299</v>
      </c>
      <c r="B74" s="1255" t="s">
        <v>220</v>
      </c>
      <c r="C74" s="175" t="s">
        <v>26</v>
      </c>
      <c r="D74" s="1025">
        <v>500000</v>
      </c>
      <c r="E74" s="1025">
        <v>0</v>
      </c>
      <c r="F74" s="997">
        <v>500000</v>
      </c>
      <c r="G74" s="997">
        <f t="shared" ref="G74" si="28">F74-D74</f>
        <v>0</v>
      </c>
      <c r="H74" s="998">
        <f t="shared" ref="H74:H76" si="29">G74/D74*100%</f>
        <v>0</v>
      </c>
      <c r="I74" s="7"/>
    </row>
    <row r="75" spans="1:9" x14ac:dyDescent="0.3">
      <c r="A75" s="1253"/>
      <c r="B75" s="1256"/>
      <c r="C75" s="177" t="s">
        <v>40</v>
      </c>
      <c r="D75" s="1026"/>
      <c r="E75" s="1026"/>
      <c r="F75" s="1027"/>
      <c r="G75" s="589"/>
      <c r="H75" s="1020"/>
      <c r="I75" s="1029"/>
    </row>
    <row r="76" spans="1:9" ht="17.25" thickBot="1" x14ac:dyDescent="0.35">
      <c r="A76" s="1254"/>
      <c r="B76" s="1259" t="s">
        <v>671</v>
      </c>
      <c r="C76" s="1259"/>
      <c r="D76" s="111">
        <f>D74+D75</f>
        <v>500000</v>
      </c>
      <c r="E76" s="1030">
        <f t="shared" ref="E76:F76" si="30">E74+E75</f>
        <v>0</v>
      </c>
      <c r="F76" s="111">
        <f t="shared" si="30"/>
        <v>500000</v>
      </c>
      <c r="G76" s="1013">
        <f t="shared" si="15"/>
        <v>0</v>
      </c>
      <c r="H76" s="1024">
        <f t="shared" si="29"/>
        <v>0</v>
      </c>
      <c r="I76" s="21"/>
    </row>
    <row r="77" spans="1:9" x14ac:dyDescent="0.3">
      <c r="A77" s="1252" t="s">
        <v>117</v>
      </c>
      <c r="B77" s="181" t="s">
        <v>27</v>
      </c>
      <c r="C77" s="181" t="s">
        <v>68</v>
      </c>
      <c r="D77" s="33"/>
      <c r="E77" s="33"/>
      <c r="F77" s="6"/>
      <c r="G77" s="89"/>
      <c r="H77" s="141"/>
      <c r="I77" s="8"/>
    </row>
    <row r="78" spans="1:9" ht="17.25" thickBot="1" x14ac:dyDescent="0.35">
      <c r="A78" s="1254"/>
      <c r="B78" s="1498" t="s">
        <v>671</v>
      </c>
      <c r="C78" s="1499"/>
      <c r="D78" s="26"/>
      <c r="E78" s="26"/>
      <c r="F78" s="26"/>
      <c r="G78" s="114"/>
      <c r="H78" s="196"/>
      <c r="I78" s="27"/>
    </row>
    <row r="79" spans="1:9" ht="17.25" thickBot="1" x14ac:dyDescent="0.35">
      <c r="A79" s="1242" t="s">
        <v>670</v>
      </c>
      <c r="B79" s="1243"/>
      <c r="C79" s="1244"/>
      <c r="D79" s="142">
        <f>SUM(D41,D54,D60,D63,D69,D71,D73,D76,D78)</f>
        <v>538290000</v>
      </c>
      <c r="E79" s="142">
        <f>SUM(E41,E54,E60,E63,E69,E71,E73,E76,E78)</f>
        <v>449099211</v>
      </c>
      <c r="F79" s="142">
        <f>SUM(F41,F54,F60,F63,F69,F71,F73,F76,F78)</f>
        <v>599810000</v>
      </c>
      <c r="G79" s="1031">
        <f t="shared" si="15"/>
        <v>61520000</v>
      </c>
      <c r="H79" s="1032">
        <f>G79/D79*100%</f>
        <v>0.11428783741106095</v>
      </c>
      <c r="I79" s="143"/>
    </row>
  </sheetData>
  <mergeCells count="66">
    <mergeCell ref="A1:I1"/>
    <mergeCell ref="A2:I2"/>
    <mergeCell ref="A3:I4"/>
    <mergeCell ref="A5:I5"/>
    <mergeCell ref="A6:C6"/>
    <mergeCell ref="D6:D7"/>
    <mergeCell ref="F6:F7"/>
    <mergeCell ref="G6:G7"/>
    <mergeCell ref="H6:H7"/>
    <mergeCell ref="I6:I7"/>
    <mergeCell ref="E6:E7"/>
    <mergeCell ref="A61:A63"/>
    <mergeCell ref="B42:B49"/>
    <mergeCell ref="B50:B53"/>
    <mergeCell ref="B63:C63"/>
    <mergeCell ref="A42:A54"/>
    <mergeCell ref="B55:B59"/>
    <mergeCell ref="A55:A60"/>
    <mergeCell ref="B73:C73"/>
    <mergeCell ref="H33:H34"/>
    <mergeCell ref="A74:A76"/>
    <mergeCell ref="B74:B75"/>
    <mergeCell ref="B10:C10"/>
    <mergeCell ref="A14:A20"/>
    <mergeCell ref="B20:C20"/>
    <mergeCell ref="A28:A30"/>
    <mergeCell ref="B28:B29"/>
    <mergeCell ref="A21:A22"/>
    <mergeCell ref="B22:C22"/>
    <mergeCell ref="A8:A10"/>
    <mergeCell ref="B30:C30"/>
    <mergeCell ref="B13:C13"/>
    <mergeCell ref="A11:A13"/>
    <mergeCell ref="A25:A27"/>
    <mergeCell ref="I33:I34"/>
    <mergeCell ref="B67:B68"/>
    <mergeCell ref="B64:B66"/>
    <mergeCell ref="B8:B9"/>
    <mergeCell ref="B24:C24"/>
    <mergeCell ref="G33:G34"/>
    <mergeCell ref="B16:B19"/>
    <mergeCell ref="B14:B15"/>
    <mergeCell ref="B60:C60"/>
    <mergeCell ref="B25:B26"/>
    <mergeCell ref="B27:C27"/>
    <mergeCell ref="A31:C31"/>
    <mergeCell ref="A32:I32"/>
    <mergeCell ref="A33:C33"/>
    <mergeCell ref="D33:D34"/>
    <mergeCell ref="F33:F34"/>
    <mergeCell ref="A23:A24"/>
    <mergeCell ref="A79:C79"/>
    <mergeCell ref="E33:E34"/>
    <mergeCell ref="A77:A78"/>
    <mergeCell ref="B78:C78"/>
    <mergeCell ref="B36:B37"/>
    <mergeCell ref="B39:B40"/>
    <mergeCell ref="B41:C41"/>
    <mergeCell ref="A72:A73"/>
    <mergeCell ref="B76:C76"/>
    <mergeCell ref="A64:A69"/>
    <mergeCell ref="B69:C69"/>
    <mergeCell ref="B54:C54"/>
    <mergeCell ref="A35:A41"/>
    <mergeCell ref="A70:A71"/>
    <mergeCell ref="B71:C71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1:I119"/>
  <sheetViews>
    <sheetView topLeftCell="A28" zoomScale="85" zoomScaleNormal="85" workbookViewId="0">
      <selection activeCell="L46" sqref="L46"/>
    </sheetView>
  </sheetViews>
  <sheetFormatPr defaultRowHeight="16.5" x14ac:dyDescent="0.3"/>
  <cols>
    <col min="1" max="1" width="14.5" customWidth="1"/>
    <col min="2" max="2" width="13.375" customWidth="1"/>
    <col min="3" max="3" width="18.5" customWidth="1"/>
    <col min="4" max="4" width="16.625" customWidth="1"/>
    <col min="5" max="5" width="16.125" customWidth="1"/>
    <col min="6" max="6" width="17.625" customWidth="1"/>
    <col min="7" max="7" width="16.375" customWidth="1"/>
    <col min="8" max="8" width="8.625" customWidth="1"/>
    <col min="9" max="9" width="34.375" customWidth="1"/>
  </cols>
  <sheetData>
    <row r="1" spans="1:9" x14ac:dyDescent="0.3">
      <c r="A1" s="1227"/>
      <c r="B1" s="1227"/>
      <c r="C1" s="1227"/>
      <c r="D1" s="1227"/>
      <c r="E1" s="1227"/>
      <c r="F1" s="1227"/>
      <c r="G1" s="1227"/>
      <c r="H1" s="1227"/>
      <c r="I1" s="1227"/>
    </row>
    <row r="2" spans="1:9" ht="46.9" customHeight="1" x14ac:dyDescent="0.3">
      <c r="A2" s="1464" t="s">
        <v>664</v>
      </c>
      <c r="B2" s="1465"/>
      <c r="C2" s="1465"/>
      <c r="D2" s="1465"/>
      <c r="E2" s="1465"/>
      <c r="F2" s="1465"/>
      <c r="G2" s="1465"/>
      <c r="H2" s="1465"/>
      <c r="I2" s="1465"/>
    </row>
    <row r="3" spans="1:9" ht="17.45" customHeight="1" x14ac:dyDescent="0.3">
      <c r="A3" s="1520" t="s">
        <v>703</v>
      </c>
      <c r="B3" s="1520"/>
      <c r="C3" s="1520"/>
      <c r="D3" s="1520"/>
      <c r="E3" s="1520"/>
      <c r="F3" s="1520"/>
      <c r="G3" s="1520"/>
      <c r="H3" s="1520"/>
      <c r="I3" s="1520"/>
    </row>
    <row r="4" spans="1:9" ht="17.45" customHeight="1" x14ac:dyDescent="0.3">
      <c r="A4" s="1520"/>
      <c r="B4" s="1520"/>
      <c r="C4" s="1520"/>
      <c r="D4" s="1520"/>
      <c r="E4" s="1520"/>
      <c r="F4" s="1520"/>
      <c r="G4" s="1520"/>
      <c r="H4" s="1520"/>
      <c r="I4" s="1520"/>
    </row>
    <row r="5" spans="1:9" ht="17.25" thickBot="1" x14ac:dyDescent="0.35">
      <c r="A5" s="1466" t="s">
        <v>733</v>
      </c>
      <c r="B5" s="1466"/>
      <c r="C5" s="1466"/>
      <c r="D5" s="1466"/>
      <c r="E5" s="1466"/>
      <c r="F5" s="1466"/>
      <c r="G5" s="1466"/>
      <c r="H5" s="1466"/>
      <c r="I5" s="1466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395</v>
      </c>
      <c r="F6" s="1273" t="s">
        <v>310</v>
      </c>
      <c r="G6" s="1273" t="s">
        <v>59</v>
      </c>
      <c r="H6" s="152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526"/>
      <c r="I7" s="1278"/>
    </row>
    <row r="8" spans="1:9" ht="15" customHeight="1" x14ac:dyDescent="0.3">
      <c r="A8" s="1364" t="s">
        <v>165</v>
      </c>
      <c r="B8" s="1309" t="s">
        <v>166</v>
      </c>
      <c r="C8" s="319" t="s">
        <v>147</v>
      </c>
      <c r="D8" s="1047"/>
      <c r="E8" s="1047"/>
      <c r="F8" s="1047"/>
      <c r="G8" s="1047"/>
      <c r="H8" s="1047"/>
      <c r="I8" s="293"/>
    </row>
    <row r="9" spans="1:9" ht="15.75" customHeight="1" x14ac:dyDescent="0.3">
      <c r="A9" s="1364"/>
      <c r="B9" s="1309"/>
      <c r="C9" s="320" t="s">
        <v>150</v>
      </c>
      <c r="D9" s="677">
        <f>'8-1.은학의집(재가복지)'!D9+'8-2은학의집(요양시설)'!D9</f>
        <v>338895288</v>
      </c>
      <c r="E9" s="677">
        <f>'8-1.은학의집(재가복지)'!E9+'8-2은학의집(요양시설)'!E9</f>
        <v>237064110</v>
      </c>
      <c r="F9" s="677">
        <f>'8-1.은학의집(재가복지)'!F9+'8-2은학의집(요양시설)'!F9</f>
        <v>338895288</v>
      </c>
      <c r="G9" s="1088">
        <f>'8-1.은학의집(재가복지)'!G9+'8-2은학의집(요양시설)'!G9</f>
        <v>0</v>
      </c>
      <c r="H9" s="502">
        <f>G9/D9*100%</f>
        <v>0</v>
      </c>
      <c r="I9" s="294"/>
    </row>
    <row r="10" spans="1:9" ht="15.75" customHeight="1" x14ac:dyDescent="0.3">
      <c r="A10" s="1364"/>
      <c r="B10" s="1309"/>
      <c r="C10" s="320" t="s">
        <v>151</v>
      </c>
      <c r="D10" s="677">
        <f>'8-1.은학의집(재가복지)'!D10+'8-2은학의집(요양시설)'!D10</f>
        <v>192937500</v>
      </c>
      <c r="E10" s="677">
        <f>'8-1.은학의집(재가복지)'!E10+'8-2은학의집(요양시설)'!E10</f>
        <v>156645218</v>
      </c>
      <c r="F10" s="677">
        <f>'8-1.은학의집(재가복지)'!F10+'8-2은학의집(요양시설)'!F10</f>
        <v>192937500</v>
      </c>
      <c r="G10" s="1088">
        <f>'8-1.은학의집(재가복지)'!G10+'8-2은학의집(요양시설)'!G10</f>
        <v>0</v>
      </c>
      <c r="H10" s="502">
        <f>G10/D10*100%</f>
        <v>0</v>
      </c>
      <c r="I10" s="294"/>
    </row>
    <row r="11" spans="1:9" ht="15.75" customHeight="1" x14ac:dyDescent="0.3">
      <c r="A11" s="1364"/>
      <c r="B11" s="1309"/>
      <c r="C11" s="320" t="s">
        <v>152</v>
      </c>
      <c r="D11" s="677">
        <f>'8-1.은학의집(재가복지)'!D11+'8-2은학의집(요양시설)'!D11</f>
        <v>34800000</v>
      </c>
      <c r="E11" s="677">
        <f>'8-1.은학의집(재가복지)'!E11+'8-2은학의집(요양시설)'!E11</f>
        <v>31028680</v>
      </c>
      <c r="F11" s="677">
        <f>'8-1.은학의집(재가복지)'!F11+'8-2은학의집(요양시설)'!F11</f>
        <v>34800000</v>
      </c>
      <c r="G11" s="1088">
        <f>'8-1.은학의집(재가복지)'!G11+'8-2은학의집(요양시설)'!G11</f>
        <v>0</v>
      </c>
      <c r="H11" s="502">
        <f>G11/D11*100%</f>
        <v>0</v>
      </c>
      <c r="I11" s="294"/>
    </row>
    <row r="12" spans="1:9" ht="15.75" customHeight="1" x14ac:dyDescent="0.3">
      <c r="A12" s="1364"/>
      <c r="B12" s="1288"/>
      <c r="C12" s="320" t="s">
        <v>153</v>
      </c>
      <c r="D12" s="677">
        <f>'8-1.은학의집(재가복지)'!D12+'8-2은학의집(요양시설)'!D12</f>
        <v>2200000</v>
      </c>
      <c r="E12" s="677">
        <f>'8-1.은학의집(재가복지)'!E12+'8-2은학의집(요양시설)'!E12</f>
        <v>4669870</v>
      </c>
      <c r="F12" s="677">
        <f>'8-1.은학의집(재가복지)'!F12+'8-2은학의집(요양시설)'!F12</f>
        <v>2200000</v>
      </c>
      <c r="G12" s="1088">
        <f>'8-1.은학의집(재가복지)'!G12+'8-2은학의집(요양시설)'!G12</f>
        <v>0</v>
      </c>
      <c r="H12" s="502">
        <f>G12/D12*100%</f>
        <v>0</v>
      </c>
      <c r="I12" s="294"/>
    </row>
    <row r="13" spans="1:9" ht="18" thickBot="1" x14ac:dyDescent="0.35">
      <c r="A13" s="1365"/>
      <c r="B13" s="1259" t="s">
        <v>671</v>
      </c>
      <c r="C13" s="1259"/>
      <c r="D13" s="1047">
        <f>'8-1.은학의집(재가복지)'!D13+'8-2은학의집(요양시설)'!D13</f>
        <v>568832788</v>
      </c>
      <c r="E13" s="1048">
        <f t="shared" ref="E13:F13" si="0">SUM(E8:E12)</f>
        <v>429407878</v>
      </c>
      <c r="F13" s="1048">
        <f t="shared" si="0"/>
        <v>568832788</v>
      </c>
      <c r="G13" s="1069">
        <f>'8-1.은학의집(재가복지)'!G13+'8-2은학의집(요양시설)'!G13</f>
        <v>0</v>
      </c>
      <c r="H13" s="825">
        <f>G13/D13*100%</f>
        <v>0</v>
      </c>
      <c r="I13" s="295"/>
    </row>
    <row r="14" spans="1:9" ht="15.75" customHeight="1" x14ac:dyDescent="0.3">
      <c r="A14" s="1401" t="s">
        <v>157</v>
      </c>
      <c r="B14" s="1309" t="s">
        <v>158</v>
      </c>
      <c r="C14" s="936" t="s">
        <v>142</v>
      </c>
      <c r="D14" s="680"/>
      <c r="E14" s="680"/>
      <c r="F14" s="677"/>
      <c r="G14" s="677"/>
      <c r="H14" s="502"/>
      <c r="I14" s="296"/>
    </row>
    <row r="15" spans="1:9" ht="15.75" customHeight="1" x14ac:dyDescent="0.3">
      <c r="A15" s="1401"/>
      <c r="B15" s="1309"/>
      <c r="C15" s="937" t="s">
        <v>143</v>
      </c>
      <c r="D15" s="676"/>
      <c r="E15" s="676"/>
      <c r="F15" s="677"/>
      <c r="G15" s="677"/>
      <c r="H15" s="502"/>
      <c r="I15" s="297"/>
    </row>
    <row r="16" spans="1:9" ht="15.75" customHeight="1" x14ac:dyDescent="0.3">
      <c r="A16" s="1401"/>
      <c r="B16" s="1309"/>
      <c r="C16" s="937" t="s">
        <v>144</v>
      </c>
      <c r="D16" s="676"/>
      <c r="E16" s="676"/>
      <c r="F16" s="677"/>
      <c r="G16" s="677"/>
      <c r="H16" s="502"/>
      <c r="I16" s="297"/>
    </row>
    <row r="17" spans="1:9" ht="15.75" customHeight="1" x14ac:dyDescent="0.3">
      <c r="A17" s="1401"/>
      <c r="B17" s="1309"/>
      <c r="C17" s="937" t="s">
        <v>145</v>
      </c>
      <c r="D17" s="676"/>
      <c r="E17" s="676"/>
      <c r="F17" s="677"/>
      <c r="G17" s="677"/>
      <c r="H17" s="502"/>
      <c r="I17" s="297"/>
    </row>
    <row r="18" spans="1:9" ht="15.75" customHeight="1" x14ac:dyDescent="0.3">
      <c r="A18" s="1401"/>
      <c r="B18" s="1309"/>
      <c r="C18" s="936" t="s">
        <v>146</v>
      </c>
      <c r="D18" s="676">
        <f>'8-1.은학의집(재가복지)'!D18+'8-2은학의집(요양시설)'!D18</f>
        <v>1000000</v>
      </c>
      <c r="E18" s="676">
        <f>'8-1.은학의집(재가복지)'!E18+'8-2은학의집(요양시설)'!E18</f>
        <v>650000</v>
      </c>
      <c r="F18" s="676">
        <f>'8-1.은학의집(재가복지)'!F18+'8-2은학의집(요양시설)'!F18</f>
        <v>1000000</v>
      </c>
      <c r="G18" s="676">
        <f>'8-1.은학의집(재가복지)'!G18+'8-2은학의집(요양시설)'!G18</f>
        <v>0</v>
      </c>
      <c r="H18" s="502">
        <f>G18/D18*100%</f>
        <v>0</v>
      </c>
      <c r="I18" s="294"/>
    </row>
    <row r="19" spans="1:9" ht="15.75" customHeight="1" x14ac:dyDescent="0.3">
      <c r="A19" s="1401"/>
      <c r="B19" s="1309"/>
      <c r="C19" s="943" t="s">
        <v>148</v>
      </c>
      <c r="D19" s="676"/>
      <c r="E19" s="676"/>
      <c r="F19" s="677"/>
      <c r="G19" s="962"/>
      <c r="H19" s="502"/>
      <c r="I19" s="294"/>
    </row>
    <row r="20" spans="1:9" ht="15.75" customHeight="1" x14ac:dyDescent="0.3">
      <c r="A20" s="1401"/>
      <c r="B20" s="1309"/>
      <c r="C20" s="943" t="s">
        <v>149</v>
      </c>
      <c r="D20" s="676"/>
      <c r="E20" s="676"/>
      <c r="F20" s="677"/>
      <c r="G20" s="962"/>
      <c r="H20" s="502"/>
      <c r="I20" s="294"/>
    </row>
    <row r="21" spans="1:9" ht="15.75" customHeight="1" x14ac:dyDescent="0.3">
      <c r="A21" s="1401"/>
      <c r="B21" s="1288"/>
      <c r="C21" s="943" t="s">
        <v>167</v>
      </c>
      <c r="D21" s="677"/>
      <c r="E21" s="677"/>
      <c r="F21" s="677"/>
      <c r="G21" s="962"/>
      <c r="H21" s="502"/>
      <c r="I21" s="37"/>
    </row>
    <row r="22" spans="1:9" ht="17.25" thickBot="1" x14ac:dyDescent="0.35">
      <c r="A22" s="1460"/>
      <c r="B22" s="1259" t="s">
        <v>671</v>
      </c>
      <c r="C22" s="1259"/>
      <c r="D22" s="520">
        <f>SUM(D14:D21)</f>
        <v>1000000</v>
      </c>
      <c r="E22" s="520">
        <f t="shared" ref="E22:G22" si="1">SUM(E14:E21)</f>
        <v>650000</v>
      </c>
      <c r="F22" s="520">
        <f t="shared" si="1"/>
        <v>1000000</v>
      </c>
      <c r="G22" s="520">
        <f t="shared" si="1"/>
        <v>0</v>
      </c>
      <c r="H22" s="715">
        <f>G22/D22*100%</f>
        <v>0</v>
      </c>
      <c r="I22" s="41"/>
    </row>
    <row r="23" spans="1:9" ht="13.5" customHeight="1" x14ac:dyDescent="0.3">
      <c r="A23" s="1371" t="s">
        <v>159</v>
      </c>
      <c r="B23" s="1308" t="s">
        <v>160</v>
      </c>
      <c r="C23" s="147" t="s">
        <v>113</v>
      </c>
      <c r="D23" s="677"/>
      <c r="E23" s="677"/>
      <c r="F23" s="677"/>
      <c r="G23" s="677"/>
      <c r="H23" s="677"/>
      <c r="I23" s="79"/>
    </row>
    <row r="24" spans="1:9" ht="13.5" customHeight="1" x14ac:dyDescent="0.3">
      <c r="A24" s="1372"/>
      <c r="B24" s="1309"/>
      <c r="C24" s="320" t="s">
        <v>63</v>
      </c>
      <c r="D24" s="677"/>
      <c r="E24" s="677"/>
      <c r="F24" s="677"/>
      <c r="G24" s="677"/>
      <c r="H24" s="677"/>
      <c r="I24" s="80"/>
    </row>
    <row r="25" spans="1:9" ht="13.5" customHeight="1" x14ac:dyDescent="0.3">
      <c r="A25" s="1372"/>
      <c r="B25" s="1309"/>
      <c r="C25" s="320" t="s">
        <v>30</v>
      </c>
      <c r="D25" s="677">
        <f>'8-1.은학의집(재가복지)'!D25+'8-2은학의집(요양시설)'!D25</f>
        <v>9037480</v>
      </c>
      <c r="E25" s="677">
        <f>'8-1.은학의집(재가복지)'!E25+'8-2은학의집(요양시설)'!E25</f>
        <v>5450650</v>
      </c>
      <c r="F25" s="677">
        <f>'8-1.은학의집(재가복지)'!F25+'8-2은학의집(요양시설)'!F25</f>
        <v>9037480</v>
      </c>
      <c r="G25" s="677">
        <f>'8-1.은학의집(재가복지)'!G25+'8-2은학의집(요양시설)'!G25</f>
        <v>0</v>
      </c>
      <c r="H25" s="502">
        <f t="shared" ref="H25:H33" si="2">G25/D25*100%</f>
        <v>0</v>
      </c>
      <c r="I25" s="80"/>
    </row>
    <row r="26" spans="1:9" ht="13.5" customHeight="1" x14ac:dyDescent="0.3">
      <c r="A26" s="1372"/>
      <c r="B26" s="1288"/>
      <c r="C26" s="320" t="s">
        <v>64</v>
      </c>
      <c r="D26" s="677">
        <f>'8-1.은학의집(재가복지)'!D26+'8-2은학의집(요양시설)'!D26</f>
        <v>478864000</v>
      </c>
      <c r="E26" s="677">
        <f>'8-1.은학의집(재가복지)'!E26+'8-2은학의집(요양시설)'!E26</f>
        <v>478893504</v>
      </c>
      <c r="F26" s="677">
        <f>'8-1.은학의집(재가복지)'!F26+'8-2은학의집(요양시설)'!F26</f>
        <v>478864000</v>
      </c>
      <c r="G26" s="677">
        <f>'8-1.은학의집(재가복지)'!G26+'8-2은학의집(요양시설)'!G26</f>
        <v>0</v>
      </c>
      <c r="H26" s="502">
        <f t="shared" si="2"/>
        <v>0</v>
      </c>
      <c r="I26" s="80"/>
    </row>
    <row r="27" spans="1:9" ht="17.25" thickBot="1" x14ac:dyDescent="0.35">
      <c r="A27" s="1373"/>
      <c r="B27" s="1259" t="s">
        <v>671</v>
      </c>
      <c r="C27" s="1259"/>
      <c r="D27" s="519">
        <f>SUM(D23:D26)</f>
        <v>487901480</v>
      </c>
      <c r="E27" s="519">
        <f t="shared" ref="E27:G27" si="3">SUM(E23:E26)</f>
        <v>484344154</v>
      </c>
      <c r="F27" s="887">
        <f t="shared" si="3"/>
        <v>487901480</v>
      </c>
      <c r="G27" s="887">
        <f t="shared" si="3"/>
        <v>0</v>
      </c>
      <c r="H27" s="531">
        <f t="shared" si="2"/>
        <v>0</v>
      </c>
      <c r="I27" s="81"/>
    </row>
    <row r="28" spans="1:9" ht="20.25" customHeight="1" x14ac:dyDescent="0.3">
      <c r="A28" s="1325" t="s">
        <v>161</v>
      </c>
      <c r="B28" s="1288" t="s">
        <v>162</v>
      </c>
      <c r="C28" s="151" t="s">
        <v>6</v>
      </c>
      <c r="D28" s="680">
        <f>'8-1.은학의집(재가복지)'!D28+'8-2은학의집(요양시설)'!D28</f>
        <v>5000000</v>
      </c>
      <c r="E28" s="680">
        <f>'8-1.은학의집(재가복지)'!E28+'8-2은학의집(요양시설)'!E28</f>
        <v>2600000</v>
      </c>
      <c r="F28" s="680">
        <f>'8-1.은학의집(재가복지)'!F28+'8-2은학의집(요양시설)'!F28</f>
        <v>5000000</v>
      </c>
      <c r="G28" s="680">
        <f>'8-1.은학의집(재가복지)'!G28+'8-2은학의집(요양시설)'!G28</f>
        <v>0</v>
      </c>
      <c r="H28" s="502">
        <f t="shared" si="2"/>
        <v>0</v>
      </c>
      <c r="I28" s="645"/>
    </row>
    <row r="29" spans="1:9" ht="20.25" customHeight="1" x14ac:dyDescent="0.3">
      <c r="A29" s="1326"/>
      <c r="B29" s="1289"/>
      <c r="C29" s="151" t="s">
        <v>7</v>
      </c>
      <c r="D29" s="677">
        <f>'8-1.은학의집(재가복지)'!D29+'8-2은학의집(요양시설)'!D29</f>
        <v>73800000</v>
      </c>
      <c r="E29" s="677">
        <f>'8-1.은학의집(재가복지)'!E29+'8-2은학의집(요양시설)'!E29</f>
        <v>84036042</v>
      </c>
      <c r="F29" s="677">
        <f>'8-1.은학의집(재가복지)'!F29+'8-2은학의집(요양시설)'!F29</f>
        <v>73800000</v>
      </c>
      <c r="G29" s="677">
        <f>'8-1.은학의집(재가복지)'!G29+'8-2은학의집(요양시설)'!G29</f>
        <v>0</v>
      </c>
      <c r="H29" s="502">
        <f t="shared" si="2"/>
        <v>0</v>
      </c>
      <c r="I29" s="37"/>
    </row>
    <row r="30" spans="1:9" ht="17.25" thickBot="1" x14ac:dyDescent="0.35">
      <c r="A30" s="1327"/>
      <c r="B30" s="1259" t="s">
        <v>671</v>
      </c>
      <c r="C30" s="1259"/>
      <c r="D30" s="539">
        <f>SUM(D28:D29)</f>
        <v>78800000</v>
      </c>
      <c r="E30" s="539">
        <f t="shared" ref="E30:G30" si="4">SUM(E28:E29)</f>
        <v>86636042</v>
      </c>
      <c r="F30" s="539">
        <f t="shared" si="4"/>
        <v>78800000</v>
      </c>
      <c r="G30" s="539">
        <f t="shared" si="4"/>
        <v>0</v>
      </c>
      <c r="H30" s="688">
        <f t="shared" si="2"/>
        <v>0</v>
      </c>
      <c r="I30" s="42"/>
    </row>
    <row r="31" spans="1:9" ht="18" customHeight="1" x14ac:dyDescent="0.3">
      <c r="A31" s="1370" t="s">
        <v>163</v>
      </c>
      <c r="B31" s="1308" t="s">
        <v>168</v>
      </c>
      <c r="C31" s="147" t="s">
        <v>154</v>
      </c>
      <c r="D31" s="677">
        <f>'8-1.은학의집(재가복지)'!D31+'8-2은학의집(요양시설)'!D31</f>
        <v>1825841480</v>
      </c>
      <c r="E31" s="677">
        <f>'8-1.은학의집(재가복지)'!E31+'8-2은학의집(요양시설)'!E31</f>
        <v>1561703020</v>
      </c>
      <c r="F31" s="677">
        <f>'8-1.은학의집(재가복지)'!F31+'8-2은학의집(요양시설)'!F31</f>
        <v>1825841480</v>
      </c>
      <c r="G31" s="677">
        <f>'8-1.은학의집(재가복지)'!G31+'8-2은학의집(요양시설)'!G31</f>
        <v>0</v>
      </c>
      <c r="H31" s="502">
        <f t="shared" si="2"/>
        <v>0</v>
      </c>
      <c r="I31" s="79"/>
    </row>
    <row r="32" spans="1:9" ht="18" customHeight="1" x14ac:dyDescent="0.3">
      <c r="A32" s="1364"/>
      <c r="B32" s="1288"/>
      <c r="C32" s="320" t="s">
        <v>155</v>
      </c>
      <c r="D32" s="677">
        <f>'8-1.은학의집(재가복지)'!D32+'8-2은학의집(요양시설)'!D32</f>
        <v>312000000</v>
      </c>
      <c r="E32" s="677">
        <f>'8-1.은학의집(재가복지)'!E32+'8-2은학의집(요양시설)'!E32</f>
        <v>287934130</v>
      </c>
      <c r="F32" s="677">
        <f>'8-1.은학의집(재가복지)'!F32+'8-2은학의집(요양시설)'!F32</f>
        <v>312000000</v>
      </c>
      <c r="G32" s="677">
        <f>'8-1.은학의집(재가복지)'!G32+'8-2은학의집(요양시설)'!G32</f>
        <v>0</v>
      </c>
      <c r="H32" s="502">
        <f t="shared" si="2"/>
        <v>0</v>
      </c>
      <c r="I32" s="83"/>
    </row>
    <row r="33" spans="1:9" ht="17.25" thickBot="1" x14ac:dyDescent="0.35">
      <c r="A33" s="1365"/>
      <c r="B33" s="1259" t="s">
        <v>671</v>
      </c>
      <c r="C33" s="1259"/>
      <c r="D33" s="519">
        <f>SUM(D31:D32)</f>
        <v>2137841480</v>
      </c>
      <c r="E33" s="519">
        <f t="shared" ref="E33:G33" si="5">SUM(E31:E32)</f>
        <v>1849637150</v>
      </c>
      <c r="F33" s="887">
        <f t="shared" si="5"/>
        <v>2137841480</v>
      </c>
      <c r="G33" s="887">
        <f t="shared" si="5"/>
        <v>0</v>
      </c>
      <c r="H33" s="531">
        <f t="shared" si="2"/>
        <v>0</v>
      </c>
      <c r="I33" s="81"/>
    </row>
    <row r="34" spans="1:9" ht="17.25" customHeight="1" x14ac:dyDescent="0.3">
      <c r="A34" s="326"/>
      <c r="B34" s="1309" t="s">
        <v>169</v>
      </c>
      <c r="C34" s="319" t="s">
        <v>183</v>
      </c>
      <c r="D34" s="680"/>
      <c r="E34" s="680"/>
      <c r="F34" s="677"/>
      <c r="G34" s="677"/>
      <c r="H34" s="502"/>
      <c r="I34" s="240"/>
    </row>
    <row r="35" spans="1:9" ht="17.25" customHeight="1" x14ac:dyDescent="0.3">
      <c r="A35" s="620"/>
      <c r="B35" s="1309"/>
      <c r="C35" s="624" t="s">
        <v>184</v>
      </c>
      <c r="D35" s="676"/>
      <c r="E35" s="676"/>
      <c r="F35" s="677"/>
      <c r="G35" s="677"/>
      <c r="H35" s="502"/>
      <c r="I35" s="240"/>
    </row>
    <row r="36" spans="1:9" ht="17.25" customHeight="1" x14ac:dyDescent="0.3">
      <c r="A36" s="1303" t="s">
        <v>4</v>
      </c>
      <c r="B36" s="1288"/>
      <c r="C36" s="146" t="s">
        <v>358</v>
      </c>
      <c r="D36" s="676">
        <f>'8-1.은학의집(재가복지)'!D36+'8-2은학의집(요양시설)'!D36</f>
        <v>10000000</v>
      </c>
      <c r="E36" s="676">
        <f>'8-1.은학의집(재가복지)'!E36+'8-2은학의집(요양시설)'!E36</f>
        <v>0</v>
      </c>
      <c r="F36" s="676">
        <f>'8-1.은학의집(재가복지)'!F36+'8-2은학의집(요양시설)'!F36</f>
        <v>10000000</v>
      </c>
      <c r="G36" s="676">
        <f>'8-1.은학의집(재가복지)'!G36+'8-2은학의집(요양시설)'!G36</f>
        <v>0</v>
      </c>
      <c r="H36" s="502">
        <f>G36/D36*100%</f>
        <v>0</v>
      </c>
      <c r="I36" s="83"/>
    </row>
    <row r="37" spans="1:9" ht="17.25" thickBot="1" x14ac:dyDescent="0.35">
      <c r="A37" s="1304"/>
      <c r="B37" s="1259" t="s">
        <v>671</v>
      </c>
      <c r="C37" s="1259"/>
      <c r="D37" s="519">
        <f>SUM(D34:D36)</f>
        <v>10000000</v>
      </c>
      <c r="E37" s="1116">
        <f>'8-1.은학의집(재가복지)'!E37+'8-2은학의집(요양시설)'!E37</f>
        <v>0</v>
      </c>
      <c r="F37" s="1048">
        <f>'8-1.은학의집(재가복지)'!F37+'8-2은학의집(요양시설)'!F37</f>
        <v>10000000</v>
      </c>
      <c r="G37" s="1116">
        <f>'8-1.은학의집(재가복지)'!G37+'8-2은학의집(요양시설)'!G37</f>
        <v>0</v>
      </c>
      <c r="H37" s="688">
        <f>G37/D37*100%</f>
        <v>0</v>
      </c>
      <c r="I37" s="42"/>
    </row>
    <row r="38" spans="1:9" ht="18.75" customHeight="1" x14ac:dyDescent="0.3">
      <c r="A38" s="1302" t="s">
        <v>170</v>
      </c>
      <c r="B38" s="1308" t="s">
        <v>171</v>
      </c>
      <c r="C38" s="149" t="s">
        <v>9</v>
      </c>
      <c r="D38" s="1117">
        <f>'8-1.은학의집(재가복지)'!D38+'8-2은학의집(요양시설)'!D38</f>
        <v>1150799409</v>
      </c>
      <c r="E38" s="1118">
        <f>'8-1.은학의집(재가복지)'!E38+'8-2은학의집(요양시설)'!E38</f>
        <v>1150799409</v>
      </c>
      <c r="F38" s="1118">
        <f>'8-1.은학의집(재가복지)'!F38+'8-2은학의집(요양시설)'!F38</f>
        <v>1150799409</v>
      </c>
      <c r="G38" s="1118">
        <f>'8-1.은학의집(재가복지)'!G38+'8-2은학의집(요양시설)'!G38</f>
        <v>0</v>
      </c>
      <c r="H38" s="502">
        <f>G38/D38*100%</f>
        <v>0</v>
      </c>
      <c r="I38" s="74"/>
    </row>
    <row r="39" spans="1:9" ht="18.75" customHeight="1" x14ac:dyDescent="0.3">
      <c r="A39" s="1303"/>
      <c r="B39" s="1288"/>
      <c r="C39" s="624" t="s">
        <v>174</v>
      </c>
      <c r="D39" s="676">
        <f>'8-1.은학의집(재가복지)'!D39+'8-2은학의집(요양시설)'!D39</f>
        <v>117042554</v>
      </c>
      <c r="E39" s="676">
        <f>'8-1.은학의집(재가복지)'!E39+'8-2은학의집(요양시설)'!E39</f>
        <v>117042554</v>
      </c>
      <c r="F39" s="676">
        <f>'8-1.은학의집(재가복지)'!F39+'8-2은학의집(요양시설)'!F39</f>
        <v>117042554</v>
      </c>
      <c r="G39" s="676">
        <f>'8-1.은학의집(재가복지)'!G39+'8-2은학의집(요양시설)'!G39</f>
        <v>0</v>
      </c>
      <c r="H39" s="502">
        <f>G39/D39*100%</f>
        <v>0</v>
      </c>
      <c r="I39" s="239"/>
    </row>
    <row r="40" spans="1:9" ht="17.25" thickBot="1" x14ac:dyDescent="0.35">
      <c r="A40" s="1304"/>
      <c r="B40" s="1259" t="s">
        <v>671</v>
      </c>
      <c r="C40" s="1259"/>
      <c r="D40" s="519">
        <f>SUM(D38:D39)</f>
        <v>1267841963</v>
      </c>
      <c r="E40" s="519">
        <f t="shared" ref="E40:G40" si="6">SUM(E38:E39)</f>
        <v>1267841963</v>
      </c>
      <c r="F40" s="887">
        <f t="shared" si="6"/>
        <v>1267841963</v>
      </c>
      <c r="G40" s="887">
        <f t="shared" si="6"/>
        <v>0</v>
      </c>
      <c r="H40" s="531">
        <f>G40/D40*100%</f>
        <v>0</v>
      </c>
      <c r="I40" s="81"/>
    </row>
    <row r="41" spans="1:9" ht="18.75" customHeight="1" x14ac:dyDescent="0.3">
      <c r="A41" s="1456" t="s">
        <v>172</v>
      </c>
      <c r="B41" s="1323" t="s">
        <v>172</v>
      </c>
      <c r="C41" s="617" t="s">
        <v>346</v>
      </c>
      <c r="D41" s="71"/>
      <c r="E41" s="71"/>
      <c r="F41" s="885"/>
      <c r="G41" s="677"/>
      <c r="H41" s="502"/>
      <c r="I41" s="79"/>
    </row>
    <row r="42" spans="1:9" ht="18.75" customHeight="1" x14ac:dyDescent="0.3">
      <c r="A42" s="1457"/>
      <c r="B42" s="1289"/>
      <c r="C42" s="619" t="s">
        <v>173</v>
      </c>
      <c r="D42" s="677">
        <f>'8-1.은학의집(재가복지)'!D42+'8-2은학의집(요양시설)'!D42</f>
        <v>1250000</v>
      </c>
      <c r="E42" s="677">
        <f>'8-1.은학의집(재가복지)'!E42+'8-2은학의집(요양시설)'!E42</f>
        <v>573061</v>
      </c>
      <c r="F42" s="677">
        <f>'8-1.은학의집(재가복지)'!F42+'8-2은학의집(요양시설)'!F42</f>
        <v>1250000</v>
      </c>
      <c r="G42" s="677">
        <f>'8-1.은학의집(재가복지)'!G42+'8-2은학의집(요양시설)'!G42</f>
        <v>0</v>
      </c>
      <c r="H42" s="502">
        <f t="shared" ref="H42:H49" si="7">G42/D42*100%</f>
        <v>0</v>
      </c>
      <c r="I42" s="83"/>
    </row>
    <row r="43" spans="1:9" ht="18.75" customHeight="1" x14ac:dyDescent="0.3">
      <c r="A43" s="1457"/>
      <c r="B43" s="1289"/>
      <c r="C43" s="619" t="s">
        <v>175</v>
      </c>
      <c r="D43" s="677">
        <f>'8-1.은학의집(재가복지)'!D43+'8-2은학의집(요양시설)'!D43</f>
        <v>33600000</v>
      </c>
      <c r="E43" s="677">
        <f>'8-1.은학의집(재가복지)'!E43+'8-2은학의집(요양시설)'!E43</f>
        <v>29990000</v>
      </c>
      <c r="F43" s="677">
        <f>'8-1.은학의집(재가복지)'!F43+'8-2은학의집(요양시설)'!F43</f>
        <v>33600000</v>
      </c>
      <c r="G43" s="677">
        <f>'8-1.은학의집(재가복지)'!G43+'8-2은학의집(요양시설)'!G43</f>
        <v>0</v>
      </c>
      <c r="H43" s="502">
        <f t="shared" si="7"/>
        <v>0</v>
      </c>
      <c r="I43" s="514"/>
    </row>
    <row r="44" spans="1:9" ht="18.75" customHeight="1" x14ac:dyDescent="0.3">
      <c r="A44" s="1457"/>
      <c r="B44" s="1289"/>
      <c r="C44" s="619" t="s">
        <v>10</v>
      </c>
      <c r="D44" s="677">
        <f>'8-1.은학의집(재가복지)'!D44+'8-2은학의집(요양시설)'!D44</f>
        <v>14158301</v>
      </c>
      <c r="E44" s="677">
        <f>'8-1.은학의집(재가복지)'!E44+'8-2은학의집(요양시설)'!E44</f>
        <v>20106800</v>
      </c>
      <c r="F44" s="677">
        <f>'8-1.은학의집(재가복지)'!F44+'8-2은학의집(요양시설)'!F44</f>
        <v>14158301</v>
      </c>
      <c r="G44" s="677">
        <f>'8-1.은학의집(재가복지)'!G44+'8-2은학의집(요양시설)'!G44</f>
        <v>0</v>
      </c>
      <c r="H44" s="502">
        <f t="shared" si="7"/>
        <v>0</v>
      </c>
      <c r="I44" s="83"/>
    </row>
    <row r="45" spans="1:9" ht="17.25" thickBot="1" x14ac:dyDescent="0.35">
      <c r="A45" s="1458"/>
      <c r="B45" s="1259" t="s">
        <v>671</v>
      </c>
      <c r="C45" s="1259"/>
      <c r="D45" s="519">
        <f>SUM(D41:D44)</f>
        <v>49008301</v>
      </c>
      <c r="E45" s="519">
        <f t="shared" ref="E45:G45" si="8">SUM(E41:E44)</f>
        <v>50669861</v>
      </c>
      <c r="F45" s="887">
        <f t="shared" si="8"/>
        <v>49008301</v>
      </c>
      <c r="G45" s="887">
        <f t="shared" si="8"/>
        <v>0</v>
      </c>
      <c r="H45" s="531">
        <f t="shared" si="7"/>
        <v>0</v>
      </c>
      <c r="I45" s="81"/>
    </row>
    <row r="46" spans="1:9" ht="20.25" customHeight="1" x14ac:dyDescent="0.3">
      <c r="A46" s="1325" t="s">
        <v>176</v>
      </c>
      <c r="B46" s="1288" t="s">
        <v>177</v>
      </c>
      <c r="C46" s="618" t="s">
        <v>178</v>
      </c>
      <c r="D46" s="676">
        <f>'8-1.은학의집(재가복지)'!D46+'8-2은학의집(요양시설)'!D46</f>
        <v>24000000</v>
      </c>
      <c r="E46" s="676">
        <f>'8-1.은학의집(재가복지)'!E46+'8-2은학의집(요양시설)'!E46</f>
        <v>22000000</v>
      </c>
      <c r="F46" s="676">
        <f>'8-1.은학의집(재가복지)'!F46+'8-2은학의집(요양시설)'!F46</f>
        <v>24000000</v>
      </c>
      <c r="G46" s="676">
        <f>'8-1.은학의집(재가복지)'!G46+'8-2은학의집(요양시설)'!G46</f>
        <v>0</v>
      </c>
      <c r="H46" s="502">
        <f t="shared" si="7"/>
        <v>0</v>
      </c>
      <c r="I46" s="240"/>
    </row>
    <row r="47" spans="1:9" ht="31.9" customHeight="1" x14ac:dyDescent="0.3">
      <c r="A47" s="1326"/>
      <c r="B47" s="1289"/>
      <c r="C47" s="320" t="s">
        <v>179</v>
      </c>
      <c r="D47" s="676">
        <f>'8-1.은학의집(재가복지)'!D47+'8-2은학의집(요양시설)'!D47</f>
        <v>24000000</v>
      </c>
      <c r="E47" s="676">
        <f>'8-1.은학의집(재가복지)'!E47+'8-2은학의집(요양시설)'!E47</f>
        <v>22000000</v>
      </c>
      <c r="F47" s="676">
        <f>'8-1.은학의집(재가복지)'!F47+'8-2은학의집(요양시설)'!F47</f>
        <v>24000000</v>
      </c>
      <c r="G47" s="676">
        <f>'8-1.은학의집(재가복지)'!G47+'8-2은학의집(요양시설)'!G47</f>
        <v>0</v>
      </c>
      <c r="H47" s="502">
        <f t="shared" si="7"/>
        <v>0</v>
      </c>
      <c r="I47" s="83"/>
    </row>
    <row r="48" spans="1:9" ht="17.25" thickBot="1" x14ac:dyDescent="0.35">
      <c r="A48" s="1459"/>
      <c r="B48" s="1259" t="s">
        <v>671</v>
      </c>
      <c r="C48" s="1259"/>
      <c r="D48" s="689">
        <f>SUM(D46:D47)</f>
        <v>48000000</v>
      </c>
      <c r="E48" s="689">
        <f t="shared" ref="E48:G48" si="9">SUM(E46:E47)</f>
        <v>44000000</v>
      </c>
      <c r="F48" s="689">
        <f t="shared" si="9"/>
        <v>48000000</v>
      </c>
      <c r="G48" s="689">
        <f t="shared" si="9"/>
        <v>0</v>
      </c>
      <c r="H48" s="531">
        <f t="shared" si="7"/>
        <v>0</v>
      </c>
      <c r="I48" s="135"/>
    </row>
    <row r="49" spans="1:9" ht="17.25" thickBot="1" x14ac:dyDescent="0.35">
      <c r="A49" s="1391" t="s">
        <v>666</v>
      </c>
      <c r="B49" s="1392"/>
      <c r="C49" s="1393"/>
      <c r="D49" s="302">
        <f>SUM(D13,D22,D27,D30,D33,D37,D40,D45,D48)</f>
        <v>4649226012</v>
      </c>
      <c r="E49" s="302">
        <f t="shared" ref="E49:G49" si="10">SUM(E13,E22,E27,E30,E33,E37,E40,E45,E48)</f>
        <v>4213187048</v>
      </c>
      <c r="F49" s="302">
        <f>SUM(F13,F22,F27,F30,F33,F37,F40,F45,F48)</f>
        <v>4649226012</v>
      </c>
      <c r="G49" s="302">
        <f t="shared" si="10"/>
        <v>0</v>
      </c>
      <c r="H49" s="1052">
        <f t="shared" si="7"/>
        <v>0</v>
      </c>
      <c r="I49" s="78"/>
    </row>
    <row r="50" spans="1:9" ht="17.25" thickBot="1" x14ac:dyDescent="0.35">
      <c r="A50" s="1527" t="s">
        <v>734</v>
      </c>
      <c r="B50" s="1528"/>
      <c r="C50" s="1528"/>
      <c r="D50" s="1528"/>
      <c r="E50" s="1528"/>
      <c r="F50" s="1528"/>
      <c r="G50" s="1528"/>
      <c r="H50" s="1528"/>
      <c r="I50" s="1528"/>
    </row>
    <row r="51" spans="1:9" ht="17.45" customHeight="1" x14ac:dyDescent="0.3">
      <c r="A51" s="1314" t="s">
        <v>29</v>
      </c>
      <c r="B51" s="1315"/>
      <c r="C51" s="1315"/>
      <c r="D51" s="1273" t="s">
        <v>237</v>
      </c>
      <c r="E51" s="1273" t="s">
        <v>396</v>
      </c>
      <c r="F51" s="1273" t="s">
        <v>310</v>
      </c>
      <c r="G51" s="1273" t="s">
        <v>59</v>
      </c>
      <c r="H51" s="1525" t="s">
        <v>49</v>
      </c>
      <c r="I51" s="1277" t="s">
        <v>61</v>
      </c>
    </row>
    <row r="52" spans="1:9" ht="18" customHeight="1" thickBot="1" x14ac:dyDescent="0.35">
      <c r="A52" s="84" t="s">
        <v>0</v>
      </c>
      <c r="B52" s="136" t="s">
        <v>1</v>
      </c>
      <c r="C52" s="136" t="s">
        <v>2</v>
      </c>
      <c r="D52" s="1274"/>
      <c r="E52" s="1274"/>
      <c r="F52" s="1274"/>
      <c r="G52" s="1274"/>
      <c r="H52" s="1526"/>
      <c r="I52" s="1278"/>
    </row>
    <row r="53" spans="1:9" ht="18" customHeight="1" x14ac:dyDescent="0.3">
      <c r="A53" s="159" t="s">
        <v>185</v>
      </c>
      <c r="B53" s="1323" t="s">
        <v>186</v>
      </c>
      <c r="C53" s="536" t="s">
        <v>17</v>
      </c>
      <c r="D53" s="730">
        <f>'8-1.은학의집(재가복지)'!D53+'8-2은학의집(요양시설)'!D53</f>
        <v>1489418960</v>
      </c>
      <c r="E53" s="730">
        <f>'8-1.은학의집(재가복지)'!E53+'8-2은학의집(요양시설)'!E53</f>
        <v>1224727602</v>
      </c>
      <c r="F53" s="730">
        <f>'8-1.은학의집(재가복지)'!F53+'8-2은학의집(요양시설)'!F53</f>
        <v>1489418960</v>
      </c>
      <c r="G53" s="730">
        <f>'8-1.은학의집(재가복지)'!G53+'8-2은학의집(요양시설)'!G53</f>
        <v>0</v>
      </c>
      <c r="H53" s="453">
        <f>G53/D53*100%</f>
        <v>0</v>
      </c>
      <c r="I53" s="544"/>
    </row>
    <row r="54" spans="1:9" x14ac:dyDescent="0.3">
      <c r="A54" s="64"/>
      <c r="B54" s="1289"/>
      <c r="C54" s="150" t="s">
        <v>32</v>
      </c>
      <c r="D54" s="731">
        <f>'8-1.은학의집(재가복지)'!D54+'8-2은학의집(요양시설)'!D54</f>
        <v>433894500</v>
      </c>
      <c r="E54" s="731">
        <f>'8-1.은학의집(재가복지)'!E54+'8-2은학의집(요양시설)'!E54</f>
        <v>304208861</v>
      </c>
      <c r="F54" s="731">
        <f>'8-1.은학의집(재가복지)'!F54+'8-2은학의집(요양시설)'!F54</f>
        <v>433894500</v>
      </c>
      <c r="G54" s="731">
        <f>'8-1.은학의집(재가복지)'!G54+'8-2은학의집(요양시설)'!G54</f>
        <v>0</v>
      </c>
      <c r="H54" s="130">
        <f>G54/D54*100%</f>
        <v>0</v>
      </c>
      <c r="I54" s="37"/>
    </row>
    <row r="55" spans="1:9" x14ac:dyDescent="0.3">
      <c r="A55" s="64"/>
      <c r="B55" s="1289"/>
      <c r="C55" s="1054" t="s">
        <v>180</v>
      </c>
      <c r="D55" s="676">
        <f>'8-1.은학의집(재가복지)'!D55+'8-2은학의집(요양시설)'!D55</f>
        <v>10000000</v>
      </c>
      <c r="E55" s="676">
        <f>'8-1.은학의집(재가복지)'!E55+'8-2은학의집(요양시설)'!E55</f>
        <v>4972400</v>
      </c>
      <c r="F55" s="676">
        <f>'8-1.은학의집(재가복지)'!F55+'8-2은학의집(요양시설)'!F55</f>
        <v>10000000</v>
      </c>
      <c r="G55" s="676">
        <f>'8-1.은학의집(재가복지)'!G55+'8-2은학의집(요양시설)'!G55</f>
        <v>0</v>
      </c>
      <c r="H55" s="1055">
        <f>G55/D55*100%</f>
        <v>0</v>
      </c>
      <c r="I55" s="37"/>
    </row>
    <row r="56" spans="1:9" ht="19.5" customHeight="1" x14ac:dyDescent="0.3">
      <c r="A56" s="64"/>
      <c r="B56" s="1289"/>
      <c r="C56" s="1054" t="s">
        <v>181</v>
      </c>
      <c r="D56" s="676">
        <f>'8-1.은학의집(재가복지)'!D56+'8-2은학의집(요양시설)'!D56</f>
        <v>160276130</v>
      </c>
      <c r="E56" s="676">
        <f>'8-1.은학의집(재가복지)'!E56+'8-2은학의집(요양시설)'!E56</f>
        <v>119342805</v>
      </c>
      <c r="F56" s="676">
        <f>'8-1.은학의집(재가복지)'!F56+'8-2은학의집(요양시설)'!F56</f>
        <v>160276130</v>
      </c>
      <c r="G56" s="676">
        <f>'8-1.은학의집(재가복지)'!G56+'8-2은학의집(요양시설)'!G56</f>
        <v>0</v>
      </c>
      <c r="H56" s="1055">
        <f>G56/D56*100%</f>
        <v>0</v>
      </c>
      <c r="I56" s="37"/>
    </row>
    <row r="57" spans="1:9" ht="15.75" customHeight="1" x14ac:dyDescent="0.3">
      <c r="A57" s="64"/>
      <c r="B57" s="1289"/>
      <c r="C57" s="150" t="s">
        <v>33</v>
      </c>
      <c r="D57" s="731">
        <f>'8-1.은학의집(재가복지)'!D57+'8-2은학의집(요양시설)'!D57</f>
        <v>203900470</v>
      </c>
      <c r="E57" s="731">
        <f>'8-1.은학의집(재가복지)'!E57+'8-2은학의집(요양시설)'!E57</f>
        <v>115505520</v>
      </c>
      <c r="F57" s="676">
        <f>'8-1.은학의집(재가복지)'!F57+'8-2은학의집(요양시설)'!F57</f>
        <v>203900470</v>
      </c>
      <c r="G57" s="676">
        <f>'8-1.은학의집(재가복지)'!G57+'8-2은학의집(요양시설)'!G57</f>
        <v>0</v>
      </c>
      <c r="H57" s="130">
        <f>G57/D57*100%</f>
        <v>0</v>
      </c>
      <c r="I57" s="37"/>
    </row>
    <row r="58" spans="1:9" ht="15.75" customHeight="1" x14ac:dyDescent="0.3">
      <c r="A58" s="64"/>
      <c r="B58" s="1289"/>
      <c r="C58" s="150" t="s">
        <v>18</v>
      </c>
      <c r="D58" s="1053"/>
      <c r="E58" s="35"/>
      <c r="F58" s="676"/>
      <c r="G58" s="676">
        <f>'8-1.은학의집(재가복지)'!G58+'8-2은학의집(요양시설)'!G58</f>
        <v>0</v>
      </c>
      <c r="H58" s="130"/>
      <c r="I58" s="37"/>
    </row>
    <row r="59" spans="1:9" ht="17.25" thickBot="1" x14ac:dyDescent="0.35">
      <c r="A59" s="64"/>
      <c r="B59" s="1324"/>
      <c r="C59" s="1109" t="s">
        <v>488</v>
      </c>
      <c r="D59" s="539">
        <f>SUM(D53:D58)</f>
        <v>2297490060</v>
      </c>
      <c r="E59" s="539">
        <f t="shared" ref="E59" si="11">SUM(E53:E58)</f>
        <v>1768757188</v>
      </c>
      <c r="F59" s="676">
        <f>'8-1.은학의집(재가복지)'!F59+'8-2은학의집(요양시설)'!F59</f>
        <v>2297490060</v>
      </c>
      <c r="G59" s="1124">
        <f>'8-1.은학의집(재가복지)'!G59+'8-2은학의집(요양시설)'!G59</f>
        <v>0</v>
      </c>
      <c r="H59" s="540">
        <f t="shared" ref="H59:H66" si="12">G59/D59*100%</f>
        <v>0</v>
      </c>
      <c r="I59" s="41"/>
    </row>
    <row r="60" spans="1:9" ht="16.5" customHeight="1" x14ac:dyDescent="0.3">
      <c r="A60" s="64"/>
      <c r="B60" s="1323" t="s">
        <v>187</v>
      </c>
      <c r="C60" s="149" t="s">
        <v>19</v>
      </c>
      <c r="D60" s="704">
        <f>'8-1.은학의집(재가복지)'!D60+'8-2은학의집(요양시설)'!D60</f>
        <v>9000000</v>
      </c>
      <c r="E60" s="639">
        <f>'8-1.은학의집(재가복지)'!E60+'8-2은학의집(요양시설)'!E60</f>
        <v>1718000</v>
      </c>
      <c r="F60" s="639">
        <f>'8-1.은학의집(재가복지)'!F60+'8-2은학의집(요양시설)'!F60</f>
        <v>9000000</v>
      </c>
      <c r="G60" s="456">
        <f>'8-1.은학의집(재가복지)'!G60+'8-2은학의집(요양시설)'!G60</f>
        <v>0</v>
      </c>
      <c r="H60" s="453">
        <f t="shared" si="12"/>
        <v>0</v>
      </c>
      <c r="I60" s="544"/>
    </row>
    <row r="61" spans="1:9" ht="16.5" customHeight="1" x14ac:dyDescent="0.3">
      <c r="A61" s="64"/>
      <c r="B61" s="1289"/>
      <c r="C61" s="219" t="s">
        <v>182</v>
      </c>
      <c r="D61" s="964">
        <f>'8-1.은학의집(재가복지)'!D61+'8-2은학의집(요양시설)'!D61</f>
        <v>6000000</v>
      </c>
      <c r="E61" s="1056">
        <f>'8-1.은학의집(재가복지)'!E61+'8-2은학의집(요양시설)'!E61</f>
        <v>4981780</v>
      </c>
      <c r="F61" s="1056">
        <f>'8-1.은학의집(재가복지)'!F61+'8-2은학의집(요양시설)'!F61</f>
        <v>6000000</v>
      </c>
      <c r="G61" s="1125">
        <f>'8-1.은학의집(재가복지)'!G61+'8-2은학의집(요양시설)'!G61</f>
        <v>0</v>
      </c>
      <c r="H61" s="130">
        <f t="shared" si="12"/>
        <v>0</v>
      </c>
      <c r="I61" s="37"/>
    </row>
    <row r="62" spans="1:9" x14ac:dyDescent="0.3">
      <c r="A62" s="64"/>
      <c r="B62" s="1289"/>
      <c r="C62" s="150" t="s">
        <v>20</v>
      </c>
      <c r="D62" s="77">
        <f>'8-1.은학의집(재가복지)'!D62+'8-2은학의집(요양시설)'!D62</f>
        <v>41380000</v>
      </c>
      <c r="E62" s="77">
        <f>'8-1.은학의집(재가복지)'!E62+'8-2은학의집(요양시설)'!E62</f>
        <v>3402825</v>
      </c>
      <c r="F62" s="77">
        <f>'8-1.은학의집(재가복지)'!F62+'8-2은학의집(요양시설)'!F62</f>
        <v>41380000</v>
      </c>
      <c r="G62" s="65">
        <f>'8-1.은학의집(재가복지)'!G62+'8-2은학의집(요양시설)'!G62</f>
        <v>0</v>
      </c>
      <c r="H62" s="130">
        <f t="shared" si="12"/>
        <v>0</v>
      </c>
      <c r="I62" s="37"/>
    </row>
    <row r="63" spans="1:9" ht="17.25" thickBot="1" x14ac:dyDescent="0.35">
      <c r="A63" s="64"/>
      <c r="B63" s="1324"/>
      <c r="C63" s="1109" t="s">
        <v>483</v>
      </c>
      <c r="D63" s="539">
        <f>SUM(D60:D62)</f>
        <v>56380000</v>
      </c>
      <c r="E63" s="539">
        <f t="shared" ref="E63:G63" si="13">SUM(E60:E62)</f>
        <v>10102605</v>
      </c>
      <c r="F63" s="539">
        <f t="shared" si="13"/>
        <v>56380000</v>
      </c>
      <c r="G63" s="539">
        <f t="shared" si="13"/>
        <v>0</v>
      </c>
      <c r="H63" s="540">
        <f t="shared" si="12"/>
        <v>0</v>
      </c>
      <c r="I63" s="41"/>
    </row>
    <row r="64" spans="1:9" x14ac:dyDescent="0.3">
      <c r="A64" s="64"/>
      <c r="B64" s="1323" t="s">
        <v>188</v>
      </c>
      <c r="C64" s="536" t="s">
        <v>21</v>
      </c>
      <c r="D64" s="583">
        <f>'8-1.은학의집(재가복지)'!D64+'8-2은학의집(요양시설)'!D64</f>
        <v>6600000</v>
      </c>
      <c r="E64" s="583">
        <f>'8-1.은학의집(재가복지)'!E64+'8-2은학의집(요양시설)'!E64</f>
        <v>537700</v>
      </c>
      <c r="F64" s="583">
        <f>'8-1.은학의집(재가복지)'!F64+'8-2은학의집(요양시설)'!F64</f>
        <v>6600000</v>
      </c>
      <c r="G64" s="583">
        <f>'8-1.은학의집(재가복지)'!G64+'8-2은학의집(요양시설)'!G64</f>
        <v>0</v>
      </c>
      <c r="H64" s="453">
        <f t="shared" si="12"/>
        <v>0</v>
      </c>
      <c r="I64" s="544"/>
    </row>
    <row r="65" spans="1:9" ht="16.5" customHeight="1" x14ac:dyDescent="0.3">
      <c r="A65" s="64"/>
      <c r="B65" s="1289"/>
      <c r="C65" s="1054" t="s">
        <v>34</v>
      </c>
      <c r="D65" s="963">
        <f>'8-1.은학의집(재가복지)'!D65+'8-2은학의집(요양시설)'!D65</f>
        <v>68172000</v>
      </c>
      <c r="E65" s="1049">
        <f>'8-1.은학의집(재가복지)'!E65+'8-2은학의집(요양시설)'!E65</f>
        <v>28353987</v>
      </c>
      <c r="F65" s="1049">
        <f>'8-1.은학의집(재가복지)'!F65+'8-2은학의집(요양시설)'!F65</f>
        <v>68172000</v>
      </c>
      <c r="G65" s="1049">
        <f>'8-1.은학의집(재가복지)'!G65+'8-2은학의집(요양시설)'!G65</f>
        <v>0</v>
      </c>
      <c r="H65" s="1055">
        <f t="shared" si="12"/>
        <v>0</v>
      </c>
      <c r="I65" s="37"/>
    </row>
    <row r="66" spans="1:9" x14ac:dyDescent="0.3">
      <c r="A66" s="64"/>
      <c r="B66" s="1289"/>
      <c r="C66" s="1054" t="s">
        <v>23</v>
      </c>
      <c r="D66" s="963">
        <f>'8-1.은학의집(재가복지)'!D66+'8-2은학의집(요양시설)'!D66</f>
        <v>292230000</v>
      </c>
      <c r="E66" s="1049">
        <f>'8-1.은학의집(재가복지)'!E66+'8-2은학의집(요양시설)'!E66</f>
        <v>102952225</v>
      </c>
      <c r="F66" s="1049">
        <f>'8-1.은학의집(재가복지)'!F66+'8-2은학의집(요양시설)'!F66</f>
        <v>292230000</v>
      </c>
      <c r="G66" s="1049">
        <f>'8-1.은학의집(재가복지)'!G66+'8-2은학의집(요양시설)'!G66</f>
        <v>0</v>
      </c>
      <c r="H66" s="1055">
        <f t="shared" si="12"/>
        <v>0</v>
      </c>
      <c r="I66" s="37"/>
    </row>
    <row r="67" spans="1:9" ht="18.75" customHeight="1" x14ac:dyDescent="0.3">
      <c r="A67" s="64"/>
      <c r="B67" s="1289"/>
      <c r="C67" s="1054" t="s">
        <v>24</v>
      </c>
      <c r="D67" s="963"/>
      <c r="E67" s="1049"/>
      <c r="F67" s="1084"/>
      <c r="G67" s="44"/>
      <c r="H67" s="1055"/>
      <c r="I67" s="37"/>
    </row>
    <row r="68" spans="1:9" x14ac:dyDescent="0.3">
      <c r="A68" s="99"/>
      <c r="B68" s="1289"/>
      <c r="C68" s="1054" t="s">
        <v>35</v>
      </c>
      <c r="D68" s="963">
        <f>'8-1.은학의집(재가복지)'!D68+'8-2은학의집(요양시설)'!D68</f>
        <v>49400000</v>
      </c>
      <c r="E68" s="1049">
        <f>'8-1.은학의집(재가복지)'!E68+'8-2은학의집(요양시설)'!E68</f>
        <v>10343944</v>
      </c>
      <c r="F68" s="1049">
        <f>'8-1.은학의집(재가복지)'!F68+'8-2은학의집(요양시설)'!F68</f>
        <v>49400000</v>
      </c>
      <c r="G68" s="1049">
        <f>'8-1.은학의집(재가복지)'!G68+'8-2은학의집(요양시설)'!G68</f>
        <v>0</v>
      </c>
      <c r="H68" s="1055">
        <f>G68/D68*100%</f>
        <v>0</v>
      </c>
      <c r="I68" s="76"/>
    </row>
    <row r="69" spans="1:9" x14ac:dyDescent="0.3">
      <c r="A69" s="99"/>
      <c r="B69" s="1289"/>
      <c r="C69" s="1072" t="s">
        <v>710</v>
      </c>
      <c r="D69" s="963"/>
      <c r="E69" s="1049"/>
      <c r="F69" s="1084"/>
      <c r="G69" s="44"/>
      <c r="H69" s="1055"/>
      <c r="I69" s="83"/>
    </row>
    <row r="70" spans="1:9" ht="19.5" customHeight="1" x14ac:dyDescent="0.3">
      <c r="A70" s="99"/>
      <c r="B70" s="1289"/>
      <c r="C70" s="1057" t="s">
        <v>36</v>
      </c>
      <c r="D70" s="963">
        <f>'8-1.은학의집(재가복지)'!D70+'8-2은학의집(요양시설)'!D70</f>
        <v>157750000</v>
      </c>
      <c r="E70" s="1049">
        <f>'8-1.은학의집(재가복지)'!E70+'8-2은학의집(요양시설)'!E70</f>
        <v>43967590</v>
      </c>
      <c r="F70" s="1049">
        <f>'8-1.은학의집(재가복지)'!F70+'8-2은학의집(요양시설)'!F70</f>
        <v>157750000</v>
      </c>
      <c r="G70" s="1049">
        <f>'8-1.은학의집(재가복지)'!G70+'8-2은학의집(요양시설)'!G70</f>
        <v>0</v>
      </c>
      <c r="H70" s="1055">
        <f t="shared" ref="H70:H78" si="14">G70/D70*100%</f>
        <v>0</v>
      </c>
      <c r="I70" s="514"/>
    </row>
    <row r="71" spans="1:9" ht="17.25" thickBot="1" x14ac:dyDescent="0.35">
      <c r="A71" s="99"/>
      <c r="B71" s="1324"/>
      <c r="C71" s="1109" t="s">
        <v>483</v>
      </c>
      <c r="D71" s="580">
        <f>SUM(D64:D70)</f>
        <v>574152000</v>
      </c>
      <c r="E71" s="580">
        <f t="shared" ref="E71:G71" si="15">SUM(E64:E70)</f>
        <v>186155446</v>
      </c>
      <c r="F71" s="580">
        <f t="shared" si="15"/>
        <v>574152000</v>
      </c>
      <c r="G71" s="580">
        <f t="shared" si="15"/>
        <v>0</v>
      </c>
      <c r="H71" s="540">
        <f t="shared" si="14"/>
        <v>0</v>
      </c>
      <c r="I71" s="41"/>
    </row>
    <row r="72" spans="1:9" ht="17.25" thickBot="1" x14ac:dyDescent="0.35">
      <c r="A72" s="137" t="s">
        <v>123</v>
      </c>
      <c r="B72" s="1259" t="s">
        <v>671</v>
      </c>
      <c r="C72" s="1259"/>
      <c r="D72" s="582">
        <f>SUM(D59,D63,D71)</f>
        <v>2928022060</v>
      </c>
      <c r="E72" s="520">
        <f t="shared" ref="E72:G72" si="16">SUM(E59,E63,E71)</f>
        <v>1965015239</v>
      </c>
      <c r="F72" s="520">
        <f t="shared" si="16"/>
        <v>2928022060</v>
      </c>
      <c r="G72" s="520">
        <f t="shared" si="16"/>
        <v>0</v>
      </c>
      <c r="H72" s="584">
        <f t="shared" si="14"/>
        <v>0</v>
      </c>
      <c r="I72" s="41"/>
    </row>
    <row r="73" spans="1:9" ht="17.25" customHeight="1" x14ac:dyDescent="0.3">
      <c r="A73" s="1325" t="s">
        <v>189</v>
      </c>
      <c r="B73" s="1288" t="s">
        <v>190</v>
      </c>
      <c r="C73" s="151" t="s">
        <v>11</v>
      </c>
      <c r="D73" s="566">
        <f>'8-1.은학의집(재가복지)'!D73+'8-2은학의집(요양시설)'!D73</f>
        <v>60000000</v>
      </c>
      <c r="E73" s="566">
        <f>'8-1.은학의집(재가복지)'!E73+'8-2은학의집(요양시설)'!E73</f>
        <v>6642640</v>
      </c>
      <c r="F73" s="566">
        <f>'8-1.은학의집(재가복지)'!F73+'8-2은학의집(요양시설)'!F73</f>
        <v>60000000</v>
      </c>
      <c r="G73" s="1085">
        <f>'8-1.은학의집(재가복지)'!G73+'8-2은학의집(요양시설)'!G73</f>
        <v>0</v>
      </c>
      <c r="H73" s="130">
        <f t="shared" si="14"/>
        <v>0</v>
      </c>
      <c r="I73" s="37"/>
    </row>
    <row r="74" spans="1:9" ht="17.25" customHeight="1" x14ac:dyDescent="0.3">
      <c r="A74" s="1325"/>
      <c r="B74" s="1288"/>
      <c r="C74" s="480" t="s">
        <v>333</v>
      </c>
      <c r="D74" s="209">
        <f>'8-1.은학의집(재가복지)'!D74+'8-2은학의집(요양시설)'!D74</f>
        <v>50000000</v>
      </c>
      <c r="E74" s="209">
        <f>'8-1.은학의집(재가복지)'!E74+'8-2은학의집(요양시설)'!E74</f>
        <v>3960000</v>
      </c>
      <c r="F74" s="209">
        <f>'8-1.은학의집(재가복지)'!F74+'8-2은학의집(요양시설)'!F74</f>
        <v>50000000</v>
      </c>
      <c r="G74" s="1126">
        <f>'8-1.은학의집(재가복지)'!G74+'8-2은학의집(요양시설)'!G74</f>
        <v>0</v>
      </c>
      <c r="H74" s="130">
        <f t="shared" si="14"/>
        <v>0</v>
      </c>
      <c r="I74" s="37"/>
    </row>
    <row r="75" spans="1:9" ht="17.25" customHeight="1" x14ac:dyDescent="0.3">
      <c r="A75" s="1326"/>
      <c r="B75" s="1289"/>
      <c r="C75" s="146" t="s">
        <v>37</v>
      </c>
      <c r="D75" s="567">
        <f>'8-1.은학의집(재가복지)'!D75+'8-2은학의집(요양시설)'!D75</f>
        <v>49554000</v>
      </c>
      <c r="E75" s="567">
        <f>'8-1.은학의집(재가복지)'!E75+'8-2은학의집(요양시설)'!E75</f>
        <v>14442830</v>
      </c>
      <c r="F75" s="567">
        <f>'8-1.은학의집(재가복지)'!F75+'8-2은학의집(요양시설)'!F75</f>
        <v>49554000</v>
      </c>
      <c r="G75" s="460">
        <f>'8-1.은학의집(재가복지)'!G75+'8-2은학의집(요양시설)'!G75</f>
        <v>0</v>
      </c>
      <c r="H75" s="130">
        <f t="shared" si="14"/>
        <v>0</v>
      </c>
      <c r="I75" s="37"/>
    </row>
    <row r="76" spans="1:9" ht="17.25" thickBot="1" x14ac:dyDescent="0.35">
      <c r="A76" s="1327"/>
      <c r="B76" s="1259" t="s">
        <v>671</v>
      </c>
      <c r="C76" s="1259"/>
      <c r="D76" s="569">
        <f>SUM(D73:D75)</f>
        <v>159554000</v>
      </c>
      <c r="E76" s="888">
        <f t="shared" ref="E76:G76" si="17">SUM(E73:E75)</f>
        <v>25045470</v>
      </c>
      <c r="F76" s="888">
        <f t="shared" si="17"/>
        <v>159554000</v>
      </c>
      <c r="G76" s="888">
        <f t="shared" si="17"/>
        <v>0</v>
      </c>
      <c r="H76" s="540">
        <f t="shared" si="14"/>
        <v>0</v>
      </c>
      <c r="I76" s="41"/>
    </row>
    <row r="77" spans="1:9" x14ac:dyDescent="0.3">
      <c r="A77" s="1302" t="s">
        <v>197</v>
      </c>
      <c r="B77" s="1305" t="s">
        <v>131</v>
      </c>
      <c r="C77" s="585" t="s">
        <v>132</v>
      </c>
      <c r="D77" s="70">
        <f>'8-1.은학의집(재가복지)'!D77+'8-2은학의집(요양시설)'!D77</f>
        <v>194684980</v>
      </c>
      <c r="E77" s="70">
        <f>'8-1.은학의집(재가복지)'!E77+'8-2은학의집(요양시설)'!E77</f>
        <v>142849009</v>
      </c>
      <c r="F77" s="70">
        <f>'8-1.은학의집(재가복지)'!F77+'8-2은학의집(요양시설)'!F77</f>
        <v>194684980</v>
      </c>
      <c r="G77" s="71">
        <f>'8-1.은학의집(재가복지)'!G77+'8-2은학의집(요양시설)'!G77</f>
        <v>0</v>
      </c>
      <c r="H77" s="453">
        <f t="shared" si="14"/>
        <v>0</v>
      </c>
      <c r="I77" s="79"/>
    </row>
    <row r="78" spans="1:9" x14ac:dyDescent="0.3">
      <c r="A78" s="1303"/>
      <c r="B78" s="1306"/>
      <c r="C78" s="622" t="s">
        <v>133</v>
      </c>
      <c r="D78" s="44">
        <f>'8-1.은학의집(재가복지)'!D78+'8-2은학의집(요양시설)'!D78</f>
        <v>52600000</v>
      </c>
      <c r="E78" s="44">
        <f>'8-1.은학의집(재가복지)'!E78+'8-2은학의집(요양시설)'!E78</f>
        <v>21110560</v>
      </c>
      <c r="F78" s="44">
        <f>'8-1.은학의집(재가복지)'!F78+'8-2은학의집(요양시설)'!F78</f>
        <v>52600000</v>
      </c>
      <c r="G78" s="884">
        <f>'8-1.은학의집(재가복지)'!G78+'8-2은학의집(요양시설)'!G78</f>
        <v>0</v>
      </c>
      <c r="H78" s="130">
        <f t="shared" si="14"/>
        <v>0</v>
      </c>
      <c r="I78" s="240"/>
    </row>
    <row r="79" spans="1:9" x14ac:dyDescent="0.3">
      <c r="A79" s="1303"/>
      <c r="B79" s="1306"/>
      <c r="C79" s="622" t="s">
        <v>194</v>
      </c>
      <c r="D79" s="44"/>
      <c r="E79" s="44"/>
      <c r="F79" s="1067"/>
      <c r="G79" s="964"/>
      <c r="H79" s="130"/>
      <c r="I79" s="240"/>
    </row>
    <row r="80" spans="1:9" x14ac:dyDescent="0.3">
      <c r="A80" s="1303"/>
      <c r="B80" s="1306"/>
      <c r="C80" s="230" t="s">
        <v>134</v>
      </c>
      <c r="D80" s="44">
        <f>'8-1.은학의집(재가복지)'!D80+'8-2은학의집(요양시설)'!D80</f>
        <v>20000000</v>
      </c>
      <c r="E80" s="44">
        <f>'8-1.은학의집(재가복지)'!E80+'8-2은학의집(요양시설)'!E80</f>
        <v>4061530</v>
      </c>
      <c r="F80" s="44">
        <f>'8-1.은학의집(재가복지)'!F80+'8-2은학의집(요양시설)'!F80</f>
        <v>20000000</v>
      </c>
      <c r="G80" s="884">
        <f>'8-1.은학의집(재가복지)'!G80+'8-2은학의집(요양시설)'!G80</f>
        <v>0</v>
      </c>
      <c r="H80" s="130">
        <f>G80/D80*100%</f>
        <v>0</v>
      </c>
      <c r="I80" s="83"/>
    </row>
    <row r="81" spans="1:9" x14ac:dyDescent="0.3">
      <c r="A81" s="1303"/>
      <c r="B81" s="1306"/>
      <c r="C81" s="230" t="s">
        <v>195</v>
      </c>
      <c r="D81" s="221">
        <f>'8-1.은학의집(재가복지)'!D81+'8-2은학의집(요양시설)'!D81</f>
        <v>34305000</v>
      </c>
      <c r="E81" s="221">
        <f>'8-1.은학의집(재가복지)'!E81+'8-2은학의집(요양시설)'!E81</f>
        <v>25776745</v>
      </c>
      <c r="F81" s="221">
        <f>'8-1.은학의집(재가복지)'!F81+'8-2은학의집(요양시설)'!F81</f>
        <v>34305000</v>
      </c>
      <c r="G81" s="885">
        <f>'8-1.은학의집(재가복지)'!G81+'8-2은학의집(요양시설)'!G81</f>
        <v>0</v>
      </c>
      <c r="H81" s="130">
        <f>G81/D81*100%</f>
        <v>0</v>
      </c>
      <c r="I81" s="83"/>
    </row>
    <row r="82" spans="1:9" ht="17.25" thickBot="1" x14ac:dyDescent="0.35">
      <c r="A82" s="1303"/>
      <c r="B82" s="1307"/>
      <c r="C82" s="1109" t="s">
        <v>483</v>
      </c>
      <c r="D82" s="519">
        <f>SUM(D77:D81)</f>
        <v>301589980</v>
      </c>
      <c r="E82" s="519">
        <f t="shared" ref="E82:G82" si="18">SUM(E77:E81)</f>
        <v>193797844</v>
      </c>
      <c r="F82" s="887">
        <f t="shared" si="18"/>
        <v>301589980</v>
      </c>
      <c r="G82" s="887">
        <f t="shared" si="18"/>
        <v>0</v>
      </c>
      <c r="H82" s="540">
        <f>G82/D82*100%</f>
        <v>0</v>
      </c>
      <c r="I82" s="81"/>
    </row>
    <row r="83" spans="1:9" ht="18" customHeight="1" x14ac:dyDescent="0.3">
      <c r="A83" s="1303"/>
      <c r="B83" s="1308" t="s">
        <v>197</v>
      </c>
      <c r="C83" s="149" t="s">
        <v>164</v>
      </c>
      <c r="D83" s="221"/>
      <c r="E83" s="221"/>
      <c r="F83" s="567"/>
      <c r="G83" s="450">
        <f t="shared" ref="G83:G92" si="19">E83-D83</f>
        <v>0</v>
      </c>
      <c r="H83" s="130"/>
      <c r="I83" s="240"/>
    </row>
    <row r="84" spans="1:9" ht="13.5" customHeight="1" x14ac:dyDescent="0.3">
      <c r="A84" s="1303"/>
      <c r="B84" s="1309"/>
      <c r="C84" s="943" t="s">
        <v>191</v>
      </c>
      <c r="D84" s="44"/>
      <c r="E84" s="44"/>
      <c r="F84" s="209"/>
      <c r="G84" s="703">
        <f t="shared" si="19"/>
        <v>0</v>
      </c>
      <c r="H84" s="130"/>
      <c r="I84" s="83"/>
    </row>
    <row r="85" spans="1:9" ht="13.5" customHeight="1" x14ac:dyDescent="0.3">
      <c r="A85" s="1303"/>
      <c r="B85" s="1309"/>
      <c r="C85" s="943" t="s">
        <v>192</v>
      </c>
      <c r="D85" s="44"/>
      <c r="E85" s="44"/>
      <c r="F85" s="209"/>
      <c r="G85" s="703">
        <f t="shared" si="19"/>
        <v>0</v>
      </c>
      <c r="H85" s="130"/>
      <c r="I85" s="83"/>
    </row>
    <row r="86" spans="1:9" ht="13.5" customHeight="1" x14ac:dyDescent="0.3">
      <c r="A86" s="1303"/>
      <c r="B86" s="1309"/>
      <c r="C86" s="943" t="s">
        <v>140</v>
      </c>
      <c r="D86" s="44"/>
      <c r="E86" s="44"/>
      <c r="F86" s="209"/>
      <c r="G86" s="703">
        <f t="shared" si="19"/>
        <v>0</v>
      </c>
      <c r="H86" s="130"/>
      <c r="I86" s="83"/>
    </row>
    <row r="87" spans="1:9" ht="13.5" customHeight="1" x14ac:dyDescent="0.3">
      <c r="A87" s="1303"/>
      <c r="B87" s="1309"/>
      <c r="C87" s="943" t="s">
        <v>137</v>
      </c>
      <c r="D87" s="44"/>
      <c r="E87" s="44"/>
      <c r="F87" s="209"/>
      <c r="G87" s="703">
        <f t="shared" si="19"/>
        <v>0</v>
      </c>
      <c r="H87" s="130"/>
      <c r="I87" s="83"/>
    </row>
    <row r="88" spans="1:9" ht="13.5" customHeight="1" x14ac:dyDescent="0.3">
      <c r="A88" s="1303"/>
      <c r="B88" s="1309"/>
      <c r="C88" s="943" t="s">
        <v>141</v>
      </c>
      <c r="D88" s="44"/>
      <c r="E88" s="44"/>
      <c r="F88" s="209"/>
      <c r="G88" s="703">
        <f t="shared" si="19"/>
        <v>0</v>
      </c>
      <c r="H88" s="130"/>
      <c r="I88" s="83"/>
    </row>
    <row r="89" spans="1:9" ht="13.5" customHeight="1" x14ac:dyDescent="0.3">
      <c r="A89" s="1303"/>
      <c r="B89" s="1309"/>
      <c r="C89" s="943" t="s">
        <v>138</v>
      </c>
      <c r="D89" s="44"/>
      <c r="E89" s="44"/>
      <c r="F89" s="209"/>
      <c r="G89" s="703">
        <f t="shared" si="19"/>
        <v>0</v>
      </c>
      <c r="H89" s="130"/>
      <c r="I89" s="83"/>
    </row>
    <row r="90" spans="1:9" ht="13.5" customHeight="1" x14ac:dyDescent="0.3">
      <c r="A90" s="1303"/>
      <c r="B90" s="1309"/>
      <c r="C90" s="943" t="s">
        <v>139</v>
      </c>
      <c r="D90" s="44"/>
      <c r="E90" s="44"/>
      <c r="F90" s="209"/>
      <c r="G90" s="703">
        <f t="shared" si="19"/>
        <v>0</v>
      </c>
      <c r="H90" s="130"/>
      <c r="I90" s="83"/>
    </row>
    <row r="91" spans="1:9" ht="18.600000000000001" customHeight="1" x14ac:dyDescent="0.3">
      <c r="A91" s="1303"/>
      <c r="B91" s="1309"/>
      <c r="C91" s="943" t="s">
        <v>136</v>
      </c>
      <c r="D91" s="44"/>
      <c r="E91" s="44"/>
      <c r="F91" s="567"/>
      <c r="G91" s="1045">
        <f t="shared" si="19"/>
        <v>0</v>
      </c>
      <c r="H91" s="130"/>
      <c r="I91" s="83"/>
    </row>
    <row r="92" spans="1:9" ht="18.600000000000001" customHeight="1" x14ac:dyDescent="0.3">
      <c r="A92" s="1303"/>
      <c r="B92" s="1309"/>
      <c r="C92" s="943" t="s">
        <v>135</v>
      </c>
      <c r="D92" s="44"/>
      <c r="E92" s="44"/>
      <c r="F92" s="209"/>
      <c r="G92" s="703">
        <f t="shared" si="19"/>
        <v>0</v>
      </c>
      <c r="H92" s="130"/>
      <c r="I92" s="83"/>
    </row>
    <row r="93" spans="1:9" ht="18.600000000000001" customHeight="1" x14ac:dyDescent="0.3">
      <c r="A93" s="1303"/>
      <c r="B93" s="1309"/>
      <c r="C93" s="943" t="s">
        <v>193</v>
      </c>
      <c r="D93" s="44">
        <f>'8-1.은학의집(재가복지)'!D93+'8-2은학의집(요양시설)'!D93</f>
        <v>105640000</v>
      </c>
      <c r="E93" s="44">
        <f>'8-1.은학의집(재가복지)'!E93+'8-2은학의집(요양시설)'!E93</f>
        <v>67482981</v>
      </c>
      <c r="F93" s="44">
        <f>'8-1.은학의집(재가복지)'!F93+'8-2은학의집(요양시설)'!F93</f>
        <v>105640000</v>
      </c>
      <c r="G93" s="884">
        <f>'8-1.은학의집(재가복지)'!G93+'8-2은학의집(요양시설)'!G93</f>
        <v>0</v>
      </c>
      <c r="H93" s="130">
        <f t="shared" ref="H93:H100" si="20">G93/D93*100%</f>
        <v>0</v>
      </c>
      <c r="I93" s="83"/>
    </row>
    <row r="94" spans="1:9" ht="18.600000000000001" customHeight="1" x14ac:dyDescent="0.3">
      <c r="A94" s="1303"/>
      <c r="B94" s="1309"/>
      <c r="C94" s="943" t="s">
        <v>239</v>
      </c>
      <c r="D94" s="44">
        <f>'8-1.은학의집(재가복지)'!D94+'8-2은학의집(요양시설)'!D94</f>
        <v>4300000</v>
      </c>
      <c r="E94" s="44">
        <f>'8-1.은학의집(재가복지)'!E94+'8-2은학의집(요양시설)'!E94</f>
        <v>184730</v>
      </c>
      <c r="F94" s="44">
        <f>'8-1.은학의집(재가복지)'!F94+'8-2은학의집(요양시설)'!F94</f>
        <v>4300000</v>
      </c>
      <c r="G94" s="884">
        <f>'8-1.은학의집(재가복지)'!G94+'8-2은학의집(요양시설)'!G94</f>
        <v>0</v>
      </c>
      <c r="H94" s="130">
        <f t="shared" si="20"/>
        <v>0</v>
      </c>
      <c r="I94" s="83"/>
    </row>
    <row r="95" spans="1:9" ht="18.600000000000001" customHeight="1" x14ac:dyDescent="0.3">
      <c r="A95" s="1303"/>
      <c r="B95" s="1309"/>
      <c r="C95" s="943" t="s">
        <v>240</v>
      </c>
      <c r="D95" s="44">
        <f>'8-1.은학의집(재가복지)'!D95+'8-2은학의집(요양시설)'!D95</f>
        <v>25300000</v>
      </c>
      <c r="E95" s="44">
        <f>'8-1.은학의집(재가복지)'!E95+'8-2은학의집(요양시설)'!E95</f>
        <v>2116760</v>
      </c>
      <c r="F95" s="44">
        <f>'8-1.은학의집(재가복지)'!F95+'8-2은학의집(요양시설)'!F95</f>
        <v>25300000</v>
      </c>
      <c r="G95" s="884">
        <f>'8-1.은학의집(재가복지)'!G95+'8-2은학의집(요양시설)'!G95</f>
        <v>0</v>
      </c>
      <c r="H95" s="130">
        <f t="shared" si="20"/>
        <v>0</v>
      </c>
      <c r="I95" s="83"/>
    </row>
    <row r="96" spans="1:9" ht="18.600000000000001" customHeight="1" x14ac:dyDescent="0.3">
      <c r="A96" s="1303"/>
      <c r="B96" s="1309"/>
      <c r="C96" s="943" t="s">
        <v>241</v>
      </c>
      <c r="D96" s="44">
        <f>'8-1.은학의집(재가복지)'!D96+'8-2은학의집(요양시설)'!D96</f>
        <v>5200000</v>
      </c>
      <c r="E96" s="44">
        <f>'8-1.은학의집(재가복지)'!E96+'8-2은학의집(요양시설)'!E96</f>
        <v>316310</v>
      </c>
      <c r="F96" s="44">
        <f>'8-1.은학의집(재가복지)'!F96+'8-2은학의집(요양시설)'!F96</f>
        <v>5200000</v>
      </c>
      <c r="G96" s="884">
        <f>'8-1.은학의집(재가복지)'!G96+'8-2은학의집(요양시설)'!G96</f>
        <v>0</v>
      </c>
      <c r="H96" s="130">
        <f t="shared" si="20"/>
        <v>0</v>
      </c>
      <c r="I96" s="83"/>
    </row>
    <row r="97" spans="1:9" ht="18.600000000000001" customHeight="1" x14ac:dyDescent="0.3">
      <c r="A97" s="1303"/>
      <c r="B97" s="1309"/>
      <c r="C97" s="943" t="s">
        <v>242</v>
      </c>
      <c r="D97" s="44">
        <f>'8-1.은학의집(재가복지)'!D97+'8-2은학의집(요양시설)'!D97</f>
        <v>76080000</v>
      </c>
      <c r="E97" s="44">
        <f>'8-1.은학의집(재가복지)'!E97+'8-2은학의집(요양시설)'!E97</f>
        <v>1862260</v>
      </c>
      <c r="F97" s="44">
        <f>'8-1.은학의집(재가복지)'!F97+'8-2은학의집(요양시설)'!F97</f>
        <v>76080000</v>
      </c>
      <c r="G97" s="884">
        <f>'8-1.은학의집(재가복지)'!G97+'8-2은학의집(요양시설)'!G97</f>
        <v>0</v>
      </c>
      <c r="H97" s="130">
        <f t="shared" si="20"/>
        <v>0</v>
      </c>
      <c r="I97" s="83"/>
    </row>
    <row r="98" spans="1:9" ht="18.600000000000001" customHeight="1" x14ac:dyDescent="0.3">
      <c r="A98" s="1303"/>
      <c r="B98" s="1309"/>
      <c r="C98" s="943" t="s">
        <v>243</v>
      </c>
      <c r="D98" s="44">
        <f>'8-1.은학의집(재가복지)'!D98+'8-2은학의집(요양시설)'!D98</f>
        <v>6000000</v>
      </c>
      <c r="E98" s="44">
        <f>'8-1.은학의집(재가복지)'!E98+'8-2은학의집(요양시설)'!E98</f>
        <v>1150500</v>
      </c>
      <c r="F98" s="44">
        <f>'8-1.은학의집(재가복지)'!F98+'8-2은학의집(요양시설)'!F98</f>
        <v>6000000</v>
      </c>
      <c r="G98" s="884">
        <f>'8-1.은학의집(재가복지)'!G98+'8-2은학의집(요양시설)'!G98</f>
        <v>0</v>
      </c>
      <c r="H98" s="130">
        <f t="shared" si="20"/>
        <v>0</v>
      </c>
      <c r="I98" s="83"/>
    </row>
    <row r="99" spans="1:9" ht="18.600000000000001" customHeight="1" x14ac:dyDescent="0.3">
      <c r="A99" s="1303"/>
      <c r="B99" s="1309"/>
      <c r="C99" s="943" t="s">
        <v>244</v>
      </c>
      <c r="D99" s="44">
        <f>'8-1.은학의집(재가복지)'!D99+'8-2은학의집(요양시설)'!D99</f>
        <v>478864000</v>
      </c>
      <c r="E99" s="44">
        <f>'8-1.은학의집(재가복지)'!E99+'8-2은학의집(요양시설)'!E99</f>
        <v>386564805</v>
      </c>
      <c r="F99" s="44">
        <f>'8-1.은학의집(재가복지)'!F99+'8-2은학의집(요양시설)'!F99</f>
        <v>478864000</v>
      </c>
      <c r="G99" s="884">
        <f>'8-1.은학의집(재가복지)'!G99+'8-2은학의집(요양시설)'!G99</f>
        <v>0</v>
      </c>
      <c r="H99" s="130">
        <f t="shared" si="20"/>
        <v>0</v>
      </c>
      <c r="I99" s="83"/>
    </row>
    <row r="100" spans="1:9" ht="18.600000000000001" customHeight="1" x14ac:dyDescent="0.3">
      <c r="A100" s="1303"/>
      <c r="B100" s="1309"/>
      <c r="C100" s="943" t="s">
        <v>245</v>
      </c>
      <c r="D100" s="44">
        <f>'8-1.은학의집(재가복지)'!D100+'8-2은학의집(요양시설)'!D100</f>
        <v>36300000</v>
      </c>
      <c r="E100" s="44">
        <f>'8-1.은학의집(재가복지)'!E100+'8-2은학의집(요양시설)'!E100</f>
        <v>4051940</v>
      </c>
      <c r="F100" s="44">
        <f>'8-1.은학의집(재가복지)'!F100+'8-2은학의집(요양시설)'!F100</f>
        <v>36300000</v>
      </c>
      <c r="G100" s="884">
        <f>'8-1.은학의집(재가복지)'!G100+'8-2은학의집(요양시설)'!G100</f>
        <v>0</v>
      </c>
      <c r="H100" s="130">
        <f t="shared" si="20"/>
        <v>0</v>
      </c>
      <c r="I100" s="83"/>
    </row>
    <row r="101" spans="1:9" ht="13.5" customHeight="1" x14ac:dyDescent="0.3">
      <c r="A101" s="1303"/>
      <c r="B101" s="1309"/>
      <c r="C101" s="943" t="s">
        <v>232</v>
      </c>
      <c r="D101" s="44"/>
      <c r="E101" s="44"/>
      <c r="F101" s="209"/>
      <c r="G101" s="732"/>
      <c r="H101" s="130"/>
      <c r="I101" s="83"/>
    </row>
    <row r="102" spans="1:9" ht="13.5" customHeight="1" x14ac:dyDescent="0.3">
      <c r="A102" s="1303"/>
      <c r="B102" s="1309"/>
      <c r="C102" s="943" t="s">
        <v>233</v>
      </c>
      <c r="D102" s="44"/>
      <c r="E102" s="44"/>
      <c r="F102" s="209"/>
      <c r="G102" s="732"/>
      <c r="H102" s="130"/>
      <c r="I102" s="83"/>
    </row>
    <row r="103" spans="1:9" ht="13.5" customHeight="1" x14ac:dyDescent="0.3">
      <c r="A103" s="1303"/>
      <c r="B103" s="1309"/>
      <c r="C103" s="943" t="s">
        <v>234</v>
      </c>
      <c r="D103" s="44"/>
      <c r="E103" s="44"/>
      <c r="F103" s="209"/>
      <c r="G103" s="732"/>
      <c r="H103" s="130"/>
      <c r="I103" s="83"/>
    </row>
    <row r="104" spans="1:9" ht="15" customHeight="1" x14ac:dyDescent="0.3">
      <c r="A104" s="1303"/>
      <c r="B104" s="1309"/>
      <c r="C104" s="943" t="s">
        <v>235</v>
      </c>
      <c r="D104" s="44"/>
      <c r="E104" s="44"/>
      <c r="F104" s="209"/>
      <c r="G104" s="732"/>
      <c r="H104" s="130"/>
      <c r="I104" s="83"/>
    </row>
    <row r="105" spans="1:9" ht="18.600000000000001" customHeight="1" thickBot="1" x14ac:dyDescent="0.35">
      <c r="A105" s="1303"/>
      <c r="B105" s="1310"/>
      <c r="C105" s="1109" t="s">
        <v>483</v>
      </c>
      <c r="D105" s="519">
        <f>SUM(D83:D104)</f>
        <v>737684000</v>
      </c>
      <c r="E105" s="519">
        <f>SUM(E83:E104)</f>
        <v>463730286</v>
      </c>
      <c r="F105" s="887">
        <f t="shared" ref="F105:G105" si="21">SUM(F83:F104)</f>
        <v>737684000</v>
      </c>
      <c r="G105" s="887">
        <f t="shared" si="21"/>
        <v>0</v>
      </c>
      <c r="H105" s="540">
        <f>G105/D105*100%</f>
        <v>0</v>
      </c>
      <c r="I105" s="299"/>
    </row>
    <row r="106" spans="1:9" ht="17.25" thickBot="1" x14ac:dyDescent="0.35">
      <c r="A106" s="1304"/>
      <c r="B106" s="1500" t="s">
        <v>671</v>
      </c>
      <c r="C106" s="1500"/>
      <c r="D106" s="629">
        <f>SUM(D82,D105)</f>
        <v>1039273980</v>
      </c>
      <c r="E106" s="629">
        <f>SUM(E82,E105)</f>
        <v>657528130</v>
      </c>
      <c r="F106" s="629">
        <f t="shared" ref="F106:G106" si="22">SUM(F82,F105)</f>
        <v>1039273980</v>
      </c>
      <c r="G106" s="629">
        <f t="shared" si="22"/>
        <v>0</v>
      </c>
      <c r="H106" s="540">
        <f>G106/D106*100%</f>
        <v>0</v>
      </c>
      <c r="I106" s="573"/>
    </row>
    <row r="107" spans="1:9" x14ac:dyDescent="0.3">
      <c r="A107" s="1303" t="s">
        <v>5</v>
      </c>
      <c r="B107" s="360" t="s">
        <v>5</v>
      </c>
      <c r="C107" s="219" t="s">
        <v>8</v>
      </c>
      <c r="D107" s="216">
        <f>'8-1.은학의집(재가복지)'!D107+'8-2은학의집(요양시설)'!D107</f>
        <v>6000000</v>
      </c>
      <c r="E107" s="216">
        <f>'8-1.은학의집(재가복지)'!E107+'8-2은학의집(요양시설)'!E107</f>
        <v>286170</v>
      </c>
      <c r="F107" s="216">
        <f>'8-1.은학의집(재가복지)'!F107+'8-2은학의집(요양시설)'!F107</f>
        <v>6000000</v>
      </c>
      <c r="G107" s="216">
        <f>'8-1.은학의집(재가복지)'!G107+'8-2은학의집(요양시설)'!G107</f>
        <v>0</v>
      </c>
      <c r="H107" s="130">
        <f>G107/D107*100%</f>
        <v>0</v>
      </c>
      <c r="I107" s="37"/>
    </row>
    <row r="108" spans="1:9" ht="17.25" thickBot="1" x14ac:dyDescent="0.35">
      <c r="A108" s="1304"/>
      <c r="B108" s="1259" t="s">
        <v>671</v>
      </c>
      <c r="C108" s="1259"/>
      <c r="D108" s="569">
        <f>D107</f>
        <v>6000000</v>
      </c>
      <c r="E108" s="888">
        <f t="shared" ref="E108:G108" si="23">E107</f>
        <v>286170</v>
      </c>
      <c r="F108" s="888">
        <f t="shared" si="23"/>
        <v>6000000</v>
      </c>
      <c r="G108" s="888">
        <f t="shared" si="23"/>
        <v>0</v>
      </c>
      <c r="H108" s="577">
        <f>G108/D108*100%</f>
        <v>0</v>
      </c>
      <c r="I108" s="42"/>
    </row>
    <row r="109" spans="1:9" x14ac:dyDescent="0.3">
      <c r="A109" s="1286" t="s">
        <v>271</v>
      </c>
      <c r="B109" s="1288" t="s">
        <v>269</v>
      </c>
      <c r="C109" s="151" t="s">
        <v>65</v>
      </c>
      <c r="D109" s="71">
        <f>'8-1.은학의집(재가복지)'!D109+'8-2은학의집(요양시설)'!D109</f>
        <v>6869996</v>
      </c>
      <c r="E109" s="71">
        <f>'8-1.은학의집(재가복지)'!E109+'8-2은학의집(요양시설)'!E109</f>
        <v>0</v>
      </c>
      <c r="F109" s="71">
        <f>'8-1.은학의집(재가복지)'!F109+'8-2은학의집(요양시설)'!F109</f>
        <v>6869996</v>
      </c>
      <c r="G109" s="71">
        <f>'8-1.은학의집(재가복지)'!G109+'8-2은학의집(요양시설)'!G109</f>
        <v>0</v>
      </c>
      <c r="H109" s="130">
        <f>G109/D109*100%</f>
        <v>0</v>
      </c>
      <c r="I109" s="39"/>
    </row>
    <row r="110" spans="1:9" x14ac:dyDescent="0.3">
      <c r="A110" s="1286"/>
      <c r="B110" s="1289"/>
      <c r="C110" s="146" t="s">
        <v>38</v>
      </c>
      <c r="D110" s="1058"/>
      <c r="E110" s="1058"/>
      <c r="F110" s="1058"/>
      <c r="G110" s="1058"/>
      <c r="H110" s="130"/>
      <c r="I110" s="37"/>
    </row>
    <row r="111" spans="1:9" ht="17.25" thickBot="1" x14ac:dyDescent="0.35">
      <c r="A111" s="1461"/>
      <c r="B111" s="1259" t="s">
        <v>671</v>
      </c>
      <c r="C111" s="1259"/>
      <c r="D111" s="576">
        <f>SUM(D109:D110)</f>
        <v>6869996</v>
      </c>
      <c r="E111" s="576">
        <f t="shared" ref="E111:G111" si="24">SUM(E109:E110)</f>
        <v>0</v>
      </c>
      <c r="F111" s="889">
        <f t="shared" si="24"/>
        <v>6869996</v>
      </c>
      <c r="G111" s="889">
        <f t="shared" si="24"/>
        <v>0</v>
      </c>
      <c r="H111" s="654">
        <f>G111/D111*100%</f>
        <v>0</v>
      </c>
      <c r="I111" s="42"/>
    </row>
    <row r="112" spans="1:9" ht="19.5" customHeight="1" x14ac:dyDescent="0.3">
      <c r="A112" s="1316" t="s">
        <v>176</v>
      </c>
      <c r="B112" s="1319" t="s">
        <v>373</v>
      </c>
      <c r="C112" s="149" t="s">
        <v>374</v>
      </c>
      <c r="D112" s="680">
        <f>'8-1.은학의집(재가복지)'!D112+'8-2은학의집(요양시설)'!D112</f>
        <v>24000000</v>
      </c>
      <c r="E112" s="680">
        <f>'8-1.은학의집(재가복지)'!E112+'8-2은학의집(요양시설)'!E112</f>
        <v>22000000</v>
      </c>
      <c r="F112" s="680">
        <f>'8-1.은학의집(재가복지)'!F112+'8-2은학의집(요양시설)'!F112</f>
        <v>24000000</v>
      </c>
      <c r="G112" s="680">
        <f>'8-1.은학의집(재가복지)'!G112+'8-2은학의집(요양시설)'!G112</f>
        <v>0</v>
      </c>
      <c r="H112" s="698">
        <f t="shared" ref="H112:H119" si="25">IF(ISERR(G112/D112),0,G112/D112)</f>
        <v>0</v>
      </c>
      <c r="I112" s="692"/>
    </row>
    <row r="113" spans="1:9" ht="28.9" customHeight="1" x14ac:dyDescent="0.3">
      <c r="A113" s="1317"/>
      <c r="B113" s="1320"/>
      <c r="C113" s="624" t="s">
        <v>375</v>
      </c>
      <c r="D113" s="677">
        <f>'8-1.은학의집(재가복지)'!D113+'8-2은학의집(요양시설)'!D113</f>
        <v>24000000</v>
      </c>
      <c r="E113" s="677">
        <f>'8-1.은학의집(재가복지)'!E113+'8-2은학의집(요양시설)'!E113</f>
        <v>22000000</v>
      </c>
      <c r="F113" s="677">
        <f>'8-1.은학의집(재가복지)'!F113+'8-2은학의집(요양시설)'!F113</f>
        <v>24000000</v>
      </c>
      <c r="G113" s="677">
        <f>'8-1.은학의집(재가복지)'!G113+'8-2은학의집(요양시설)'!G113</f>
        <v>0</v>
      </c>
      <c r="H113" s="498">
        <f t="shared" si="25"/>
        <v>0</v>
      </c>
      <c r="I113" s="693"/>
    </row>
    <row r="114" spans="1:9" ht="17.25" thickBot="1" x14ac:dyDescent="0.35">
      <c r="A114" s="1318"/>
      <c r="B114" s="1259" t="s">
        <v>671</v>
      </c>
      <c r="C114" s="1259"/>
      <c r="D114" s="576">
        <f>SUM(D112:D113)</f>
        <v>48000000</v>
      </c>
      <c r="E114" s="576">
        <f t="shared" ref="E114:G114" si="26">SUM(E112:E113)</f>
        <v>44000000</v>
      </c>
      <c r="F114" s="889">
        <f t="shared" si="26"/>
        <v>48000000</v>
      </c>
      <c r="G114" s="889">
        <f t="shared" si="26"/>
        <v>0</v>
      </c>
      <c r="H114" s="705">
        <f t="shared" si="25"/>
        <v>0</v>
      </c>
      <c r="I114" s="42"/>
    </row>
    <row r="115" spans="1:9" x14ac:dyDescent="0.3">
      <c r="A115" s="1317" t="s">
        <v>376</v>
      </c>
      <c r="B115" s="1529" t="s">
        <v>377</v>
      </c>
      <c r="C115" s="623" t="s">
        <v>378</v>
      </c>
      <c r="D115" s="677">
        <f>'8-1.은학의집(재가복지)'!D115+'8-2은학의집(요양시설)'!D115</f>
        <v>233947578</v>
      </c>
      <c r="E115" s="677">
        <f>'8-1.은학의집(재가복지)'!E115+'8-2은학의집(요양시설)'!E115</f>
        <v>0</v>
      </c>
      <c r="F115" s="677">
        <f>'8-1.은학의집(재가복지)'!F115+'8-2은학의집(요양시설)'!F115</f>
        <v>233947578</v>
      </c>
      <c r="G115" s="677">
        <f>'8-1.은학의집(재가복지)'!G115+'8-2은학의집(요양시설)'!G115</f>
        <v>0</v>
      </c>
      <c r="H115" s="167">
        <f t="shared" si="25"/>
        <v>0</v>
      </c>
      <c r="I115" s="76"/>
    </row>
    <row r="116" spans="1:9" ht="33" x14ac:dyDescent="0.3">
      <c r="A116" s="1317"/>
      <c r="B116" s="1320"/>
      <c r="C116" s="624" t="s">
        <v>367</v>
      </c>
      <c r="D116" s="677">
        <f>'8-1.은학의집(재가복지)'!D116+'8-2은학의집(요양시설)'!D116</f>
        <v>227558398</v>
      </c>
      <c r="E116" s="677">
        <f>'8-1.은학의집(재가복지)'!E116+'8-2은학의집(요양시설)'!E116</f>
        <v>0</v>
      </c>
      <c r="F116" s="677">
        <f>'8-1.은학의집(재가복지)'!F116+'8-2은학의집(요양시설)'!F116</f>
        <v>227558398</v>
      </c>
      <c r="G116" s="677">
        <f>'8-1.은학의집(재가복지)'!G116+'8-2은학의집(요양시설)'!G116</f>
        <v>0</v>
      </c>
      <c r="H116" s="706">
        <f t="shared" si="25"/>
        <v>0</v>
      </c>
      <c r="I116" s="693"/>
    </row>
    <row r="117" spans="1:9" ht="17.25" thickBot="1" x14ac:dyDescent="0.35">
      <c r="A117" s="1318"/>
      <c r="B117" s="1259" t="s">
        <v>671</v>
      </c>
      <c r="C117" s="1259"/>
      <c r="D117" s="576">
        <f>SUM(D115:D116)</f>
        <v>461505976</v>
      </c>
      <c r="E117" s="576">
        <f t="shared" ref="E117:G117" si="27">SUM(E115:E116)</f>
        <v>0</v>
      </c>
      <c r="F117" s="889">
        <f t="shared" si="27"/>
        <v>461505976</v>
      </c>
      <c r="G117" s="889">
        <f t="shared" si="27"/>
        <v>0</v>
      </c>
      <c r="H117" s="577">
        <f t="shared" si="25"/>
        <v>0</v>
      </c>
      <c r="I117" s="42"/>
    </row>
    <row r="118" spans="1:9" ht="17.25" thickBot="1" x14ac:dyDescent="0.35">
      <c r="A118" s="152" t="s">
        <v>379</v>
      </c>
      <c r="B118" s="153" t="s">
        <v>380</v>
      </c>
      <c r="C118" s="220" t="s">
        <v>371</v>
      </c>
      <c r="D118" s="213"/>
      <c r="E118" s="224">
        <f>'8-1.은학의집(재가복지)'!E118+'8-2은학의집(요양시설)'!E118</f>
        <v>1521312039</v>
      </c>
      <c r="F118" s="224"/>
      <c r="G118" s="1127">
        <f>'8-1.은학의집(재가복지)'!G118+'8-2은학의집(요양시설)'!G118</f>
        <v>0</v>
      </c>
      <c r="H118" s="707">
        <f t="shared" si="25"/>
        <v>0</v>
      </c>
      <c r="I118" s="138"/>
    </row>
    <row r="119" spans="1:9" ht="18" thickBot="1" x14ac:dyDescent="0.35">
      <c r="A119" s="1391" t="s">
        <v>669</v>
      </c>
      <c r="B119" s="1392"/>
      <c r="C119" s="1393"/>
      <c r="D119" s="302">
        <f>SUM(D72,D76,D106,D108,D111,D118,D117,D114)</f>
        <v>4649226012</v>
      </c>
      <c r="E119" s="302">
        <f t="shared" ref="E119:G119" si="28">SUM(E72,E76,E106,E108,E111,E118,E117,E114)</f>
        <v>4213187048</v>
      </c>
      <c r="F119" s="302">
        <f t="shared" si="28"/>
        <v>4649226012</v>
      </c>
      <c r="G119" s="302">
        <f t="shared" si="28"/>
        <v>0</v>
      </c>
      <c r="H119" s="708">
        <f t="shared" si="25"/>
        <v>0</v>
      </c>
      <c r="I119" s="78"/>
    </row>
  </sheetData>
  <mergeCells count="70">
    <mergeCell ref="A115:A117"/>
    <mergeCell ref="B115:B116"/>
    <mergeCell ref="B117:C117"/>
    <mergeCell ref="A119:C119"/>
    <mergeCell ref="B33:C33"/>
    <mergeCell ref="A38:A40"/>
    <mergeCell ref="B38:B39"/>
    <mergeCell ref="B40:C40"/>
    <mergeCell ref="A31:A33"/>
    <mergeCell ref="B31:B32"/>
    <mergeCell ref="B34:B36"/>
    <mergeCell ref="A36:A37"/>
    <mergeCell ref="B37:C37"/>
    <mergeCell ref="A41:A45"/>
    <mergeCell ref="B41:B44"/>
    <mergeCell ref="B45:C45"/>
    <mergeCell ref="A2:I2"/>
    <mergeCell ref="A3:I4"/>
    <mergeCell ref="A5:I5"/>
    <mergeCell ref="A6:C6"/>
    <mergeCell ref="D6:D7"/>
    <mergeCell ref="E6:E7"/>
    <mergeCell ref="G6:G7"/>
    <mergeCell ref="H6:H7"/>
    <mergeCell ref="I6:I7"/>
    <mergeCell ref="F6:F7"/>
    <mergeCell ref="A8:A13"/>
    <mergeCell ref="B8:B12"/>
    <mergeCell ref="B13:C13"/>
    <mergeCell ref="A14:A22"/>
    <mergeCell ref="B14:B21"/>
    <mergeCell ref="B22:C22"/>
    <mergeCell ref="A23:A27"/>
    <mergeCell ref="B23:B26"/>
    <mergeCell ref="B27:C27"/>
    <mergeCell ref="A28:A30"/>
    <mergeCell ref="B28:B29"/>
    <mergeCell ref="B30:C30"/>
    <mergeCell ref="A46:A48"/>
    <mergeCell ref="B46:B47"/>
    <mergeCell ref="B48:C48"/>
    <mergeCell ref="A49:C49"/>
    <mergeCell ref="A50:I50"/>
    <mergeCell ref="B108:C108"/>
    <mergeCell ref="H51:H52"/>
    <mergeCell ref="I51:I52"/>
    <mergeCell ref="B53:B59"/>
    <mergeCell ref="B60:B63"/>
    <mergeCell ref="B64:B71"/>
    <mergeCell ref="A51:C51"/>
    <mergeCell ref="D51:D52"/>
    <mergeCell ref="E51:E52"/>
    <mergeCell ref="G51:G52"/>
    <mergeCell ref="F51:F52"/>
    <mergeCell ref="A1:I1"/>
    <mergeCell ref="A112:A114"/>
    <mergeCell ref="B112:B113"/>
    <mergeCell ref="B114:C114"/>
    <mergeCell ref="B72:C72"/>
    <mergeCell ref="A73:A76"/>
    <mergeCell ref="B73:B75"/>
    <mergeCell ref="B76:C76"/>
    <mergeCell ref="A109:A111"/>
    <mergeCell ref="B109:B110"/>
    <mergeCell ref="B111:C111"/>
    <mergeCell ref="A77:A106"/>
    <mergeCell ref="B77:B82"/>
    <mergeCell ref="B83:B105"/>
    <mergeCell ref="B106:C106"/>
    <mergeCell ref="A107:A108"/>
  </mergeCells>
  <phoneticPr fontId="2" type="noConversion"/>
  <pageMargins left="0.25" right="0.25" top="0.75" bottom="0.75" header="0.3" footer="0.3"/>
  <pageSetup paperSize="9" scale="7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</sheetPr>
  <dimension ref="A1:I119"/>
  <sheetViews>
    <sheetView topLeftCell="A40" workbookViewId="0">
      <selection activeCell="F53" sqref="F53"/>
    </sheetView>
  </sheetViews>
  <sheetFormatPr defaultRowHeight="16.5" x14ac:dyDescent="0.3"/>
  <cols>
    <col min="1" max="1" width="17" customWidth="1"/>
    <col min="2" max="2" width="15" customWidth="1"/>
    <col min="3" max="3" width="22.125" customWidth="1"/>
    <col min="4" max="4" width="18.25" customWidth="1"/>
    <col min="5" max="5" width="20.75" customWidth="1"/>
    <col min="6" max="6" width="18.375" customWidth="1"/>
    <col min="7" max="7" width="14.5" customWidth="1"/>
    <col min="8" max="8" width="9.625" customWidth="1"/>
    <col min="9" max="9" width="33.75" customWidth="1"/>
  </cols>
  <sheetData>
    <row r="1" spans="1:9" x14ac:dyDescent="0.3">
      <c r="A1" s="1530"/>
      <c r="B1" s="1531"/>
      <c r="C1" s="1531"/>
      <c r="D1" s="1531"/>
      <c r="E1" s="1531"/>
      <c r="F1" s="1531"/>
      <c r="G1" s="1531"/>
      <c r="H1" s="1531"/>
      <c r="I1" s="1532"/>
    </row>
    <row r="2" spans="1:9" ht="29.45" customHeight="1" x14ac:dyDescent="0.3">
      <c r="A2" s="1533" t="s">
        <v>478</v>
      </c>
      <c r="B2" s="1465"/>
      <c r="C2" s="1465"/>
      <c r="D2" s="1465"/>
      <c r="E2" s="1465"/>
      <c r="F2" s="1465"/>
      <c r="G2" s="1465"/>
      <c r="H2" s="1465"/>
      <c r="I2" s="1534"/>
    </row>
    <row r="3" spans="1:9" x14ac:dyDescent="0.3">
      <c r="A3" s="1535"/>
      <c r="B3" s="1435"/>
      <c r="C3" s="1435"/>
      <c r="D3" s="1435"/>
      <c r="E3" s="1435"/>
      <c r="F3" s="1435"/>
      <c r="G3" s="1435"/>
      <c r="H3" s="1435"/>
      <c r="I3" s="1536"/>
    </row>
    <row r="4" spans="1:9" x14ac:dyDescent="0.3">
      <c r="A4" s="1535"/>
      <c r="B4" s="1435"/>
      <c r="C4" s="1435"/>
      <c r="D4" s="1435"/>
      <c r="E4" s="1435"/>
      <c r="F4" s="1435"/>
      <c r="G4" s="1435"/>
      <c r="H4" s="1435"/>
      <c r="I4" s="1536"/>
    </row>
    <row r="5" spans="1:9" ht="17.25" thickBot="1" x14ac:dyDescent="0.35">
      <c r="A5" s="1537" t="s">
        <v>662</v>
      </c>
      <c r="B5" s="1466"/>
      <c r="C5" s="1466"/>
      <c r="D5" s="1466"/>
      <c r="E5" s="1466"/>
      <c r="F5" s="1466"/>
      <c r="G5" s="1466"/>
      <c r="H5" s="1466"/>
      <c r="I5" s="1538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395</v>
      </c>
      <c r="F6" s="1273" t="s">
        <v>310</v>
      </c>
      <c r="G6" s="1273" t="s">
        <v>59</v>
      </c>
      <c r="H6" s="152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526"/>
      <c r="I7" s="1278"/>
    </row>
    <row r="8" spans="1:9" ht="17.25" customHeight="1" x14ac:dyDescent="0.3">
      <c r="A8" s="1370" t="s">
        <v>165</v>
      </c>
      <c r="B8" s="1308" t="s">
        <v>166</v>
      </c>
      <c r="C8" s="617" t="s">
        <v>147</v>
      </c>
      <c r="D8" s="679"/>
      <c r="E8" s="679"/>
      <c r="F8" s="679"/>
      <c r="G8" s="680"/>
      <c r="H8" s="681"/>
      <c r="I8" s="497"/>
    </row>
    <row r="9" spans="1:9" ht="17.25" customHeight="1" x14ac:dyDescent="0.3">
      <c r="A9" s="1364"/>
      <c r="B9" s="1309"/>
      <c r="C9" s="619" t="s">
        <v>150</v>
      </c>
      <c r="D9" s="676">
        <v>202547448</v>
      </c>
      <c r="E9" s="676">
        <f>63246160+73870350</f>
        <v>137116510</v>
      </c>
      <c r="F9" s="676">
        <v>202547448</v>
      </c>
      <c r="G9" s="1088">
        <f>F9-D9</f>
        <v>0</v>
      </c>
      <c r="H9" s="678">
        <f>IF(ISERR(G9/D9*100%),0,G9/D9*100%)</f>
        <v>0</v>
      </c>
      <c r="I9" s="294"/>
    </row>
    <row r="10" spans="1:9" ht="17.25" customHeight="1" x14ac:dyDescent="0.3">
      <c r="A10" s="1364"/>
      <c r="B10" s="1309"/>
      <c r="C10" s="619" t="s">
        <v>151</v>
      </c>
      <c r="D10" s="676">
        <v>62437500</v>
      </c>
      <c r="E10" s="676">
        <f>46024730</f>
        <v>46024730</v>
      </c>
      <c r="F10" s="676">
        <v>62437500</v>
      </c>
      <c r="G10" s="1088">
        <f>F10-D10</f>
        <v>0</v>
      </c>
      <c r="H10" s="678">
        <f>IF(ISERR(G10/D10*100%),0,G10/D10*100%)</f>
        <v>0</v>
      </c>
      <c r="I10" s="294"/>
    </row>
    <row r="11" spans="1:9" ht="17.25" customHeight="1" x14ac:dyDescent="0.3">
      <c r="A11" s="1364"/>
      <c r="B11" s="1309"/>
      <c r="C11" s="619" t="s">
        <v>152</v>
      </c>
      <c r="D11" s="676"/>
      <c r="E11" s="676"/>
      <c r="F11" s="676"/>
      <c r="G11" s="962"/>
      <c r="H11" s="678"/>
      <c r="I11" s="294"/>
    </row>
    <row r="12" spans="1:9" ht="17.25" customHeight="1" x14ac:dyDescent="0.3">
      <c r="A12" s="1364"/>
      <c r="B12" s="1288"/>
      <c r="C12" s="619" t="s">
        <v>153</v>
      </c>
      <c r="D12" s="676"/>
      <c r="E12" s="676"/>
      <c r="F12" s="676"/>
      <c r="G12" s="962"/>
      <c r="H12" s="678"/>
      <c r="I12" s="294"/>
    </row>
    <row r="13" spans="1:9" ht="18" thickBot="1" x14ac:dyDescent="0.35">
      <c r="A13" s="1365"/>
      <c r="B13" s="1374" t="s">
        <v>476</v>
      </c>
      <c r="C13" s="1374"/>
      <c r="D13" s="232">
        <f>SUM(D8:D12)</f>
        <v>264984948</v>
      </c>
      <c r="E13" s="232">
        <f t="shared" ref="E13" si="0">SUM(E8:E12)</f>
        <v>183141240</v>
      </c>
      <c r="F13" s="232">
        <f>SUM(F8:F12)</f>
        <v>264984948</v>
      </c>
      <c r="G13" s="1088">
        <f t="shared" ref="G13" si="1">F13-D13</f>
        <v>0</v>
      </c>
      <c r="H13" s="678">
        <f>IF(ISERR(G13/D13*100%),0,G13/D13*100%)</f>
        <v>0</v>
      </c>
      <c r="I13" s="295"/>
    </row>
    <row r="14" spans="1:9" ht="18" customHeight="1" x14ac:dyDescent="0.3">
      <c r="A14" s="1539" t="s">
        <v>3</v>
      </c>
      <c r="B14" s="1308" t="s">
        <v>3</v>
      </c>
      <c r="C14" s="617" t="s">
        <v>142</v>
      </c>
      <c r="D14" s="496"/>
      <c r="E14" s="496"/>
      <c r="F14" s="496"/>
      <c r="G14" s="496"/>
      <c r="H14" s="681"/>
      <c r="I14" s="683"/>
    </row>
    <row r="15" spans="1:9" ht="18" customHeight="1" x14ac:dyDescent="0.3">
      <c r="A15" s="1540"/>
      <c r="B15" s="1309"/>
      <c r="C15" s="619" t="s">
        <v>143</v>
      </c>
      <c r="D15" s="626"/>
      <c r="E15" s="626"/>
      <c r="F15" s="243"/>
      <c r="G15" s="243"/>
      <c r="H15" s="502"/>
      <c r="I15" s="676"/>
    </row>
    <row r="16" spans="1:9" ht="18" customHeight="1" x14ac:dyDescent="0.3">
      <c r="A16" s="1540"/>
      <c r="B16" s="1309"/>
      <c r="C16" s="619" t="s">
        <v>144</v>
      </c>
      <c r="D16" s="626"/>
      <c r="E16" s="626"/>
      <c r="F16" s="243"/>
      <c r="G16" s="243"/>
      <c r="H16" s="502"/>
      <c r="I16" s="684"/>
    </row>
    <row r="17" spans="1:9" ht="18" customHeight="1" x14ac:dyDescent="0.3">
      <c r="A17" s="1540"/>
      <c r="B17" s="1309"/>
      <c r="C17" s="619" t="s">
        <v>145</v>
      </c>
      <c r="D17" s="626"/>
      <c r="E17" s="626"/>
      <c r="F17" s="243"/>
      <c r="G17" s="243"/>
      <c r="H17" s="502"/>
      <c r="I17" s="684"/>
    </row>
    <row r="18" spans="1:9" ht="18" customHeight="1" x14ac:dyDescent="0.3">
      <c r="A18" s="1540"/>
      <c r="B18" s="1309"/>
      <c r="C18" s="618" t="s">
        <v>146</v>
      </c>
      <c r="D18" s="676">
        <v>1000000</v>
      </c>
      <c r="E18" s="676">
        <v>650000</v>
      </c>
      <c r="F18" s="676">
        <v>1000000</v>
      </c>
      <c r="G18" s="676">
        <f>F18-D18</f>
        <v>0</v>
      </c>
      <c r="H18" s="502">
        <f>G18/E18*100%</f>
        <v>0</v>
      </c>
      <c r="I18" s="685"/>
    </row>
    <row r="19" spans="1:9" ht="18" customHeight="1" x14ac:dyDescent="0.3">
      <c r="A19" s="1540"/>
      <c r="B19" s="1309"/>
      <c r="C19" s="624" t="s">
        <v>148</v>
      </c>
      <c r="D19" s="626"/>
      <c r="E19" s="626"/>
      <c r="F19" s="626"/>
      <c r="G19" s="243"/>
      <c r="H19" s="502"/>
      <c r="I19" s="685"/>
    </row>
    <row r="20" spans="1:9" ht="18" customHeight="1" x14ac:dyDescent="0.3">
      <c r="A20" s="1540"/>
      <c r="B20" s="1309"/>
      <c r="C20" s="624" t="s">
        <v>149</v>
      </c>
      <c r="D20" s="626"/>
      <c r="E20" s="626"/>
      <c r="F20" s="626"/>
      <c r="G20" s="243"/>
      <c r="H20" s="502"/>
      <c r="I20" s="685"/>
    </row>
    <row r="21" spans="1:9" ht="18" customHeight="1" x14ac:dyDescent="0.3">
      <c r="A21" s="1540"/>
      <c r="B21" s="1288"/>
      <c r="C21" s="624" t="s">
        <v>167</v>
      </c>
      <c r="D21" s="65"/>
      <c r="E21" s="65"/>
      <c r="F21" s="65"/>
      <c r="G21" s="36"/>
      <c r="H21" s="502"/>
      <c r="I21" s="37"/>
    </row>
    <row r="22" spans="1:9" ht="17.25" thickBot="1" x14ac:dyDescent="0.35">
      <c r="A22" s="1541"/>
      <c r="B22" s="1403" t="s">
        <v>466</v>
      </c>
      <c r="C22" s="1404"/>
      <c r="D22" s="520">
        <f>SUM(D14:D21)</f>
        <v>1000000</v>
      </c>
      <c r="E22" s="520">
        <f t="shared" ref="E22:G22" si="2">SUM(E14:E21)</f>
        <v>650000</v>
      </c>
      <c r="F22" s="520">
        <f>SUM(F14:F21)</f>
        <v>1000000</v>
      </c>
      <c r="G22" s="520">
        <f t="shared" si="2"/>
        <v>0</v>
      </c>
      <c r="H22" s="682">
        <f>G22/D22*100%</f>
        <v>0</v>
      </c>
      <c r="I22" s="41"/>
    </row>
    <row r="23" spans="1:9" ht="19.5" customHeight="1" x14ac:dyDescent="0.3">
      <c r="A23" s="1372" t="s">
        <v>159</v>
      </c>
      <c r="B23" s="1309" t="s">
        <v>159</v>
      </c>
      <c r="C23" s="618" t="s">
        <v>113</v>
      </c>
      <c r="D23" s="221"/>
      <c r="E23" s="221"/>
      <c r="F23" s="213"/>
      <c r="G23" s="161"/>
      <c r="H23" s="502"/>
      <c r="I23" s="240"/>
    </row>
    <row r="24" spans="1:9" ht="19.5" customHeight="1" x14ac:dyDescent="0.3">
      <c r="A24" s="1372"/>
      <c r="B24" s="1309"/>
      <c r="C24" s="320" t="s">
        <v>63</v>
      </c>
      <c r="D24" s="44"/>
      <c r="E24" s="44"/>
      <c r="F24" s="44"/>
      <c r="G24" s="161"/>
      <c r="H24" s="502"/>
      <c r="I24" s="80"/>
    </row>
    <row r="25" spans="1:9" ht="19.5" customHeight="1" x14ac:dyDescent="0.3">
      <c r="A25" s="1372"/>
      <c r="B25" s="1309"/>
      <c r="C25" s="320" t="s">
        <v>30</v>
      </c>
      <c r="D25" s="884"/>
      <c r="E25" s="44"/>
      <c r="F25" s="213"/>
      <c r="G25" s="600"/>
      <c r="H25" s="502"/>
      <c r="I25" s="80"/>
    </row>
    <row r="26" spans="1:9" ht="19.5" customHeight="1" x14ac:dyDescent="0.3">
      <c r="A26" s="1372"/>
      <c r="B26" s="1288"/>
      <c r="C26" s="320" t="s">
        <v>64</v>
      </c>
      <c r="D26" s="884">
        <v>478864000</v>
      </c>
      <c r="E26" s="44">
        <v>478893504</v>
      </c>
      <c r="F26" s="884">
        <v>478864000</v>
      </c>
      <c r="G26" s="161">
        <f t="shared" ref="G26:G31" si="3">F26-D26</f>
        <v>0</v>
      </c>
      <c r="H26" s="502">
        <f t="shared" ref="H26:H33" si="4">G26/D26*100%</f>
        <v>0</v>
      </c>
      <c r="I26" s="80"/>
    </row>
    <row r="27" spans="1:9" ht="17.25" thickBot="1" x14ac:dyDescent="0.35">
      <c r="A27" s="1373"/>
      <c r="B27" s="1368" t="s">
        <v>466</v>
      </c>
      <c r="C27" s="1394"/>
      <c r="D27" s="519">
        <f>SUM(D23:D26)</f>
        <v>478864000</v>
      </c>
      <c r="E27" s="519">
        <f t="shared" ref="E27" si="5">SUM(E23:E26)</f>
        <v>478893504</v>
      </c>
      <c r="F27" s="887">
        <f>SUM(F23:F26)</f>
        <v>478864000</v>
      </c>
      <c r="G27" s="1089">
        <f t="shared" si="3"/>
        <v>0</v>
      </c>
      <c r="H27" s="710">
        <f t="shared" si="4"/>
        <v>0</v>
      </c>
      <c r="I27" s="299"/>
    </row>
    <row r="28" spans="1:9" ht="18" customHeight="1" x14ac:dyDescent="0.3">
      <c r="A28" s="1325" t="s">
        <v>161</v>
      </c>
      <c r="B28" s="1288" t="s">
        <v>161</v>
      </c>
      <c r="C28" s="151" t="s">
        <v>6</v>
      </c>
      <c r="D28" s="885">
        <v>2000000</v>
      </c>
      <c r="E28" s="885">
        <v>2400000</v>
      </c>
      <c r="F28" s="885">
        <v>2000000</v>
      </c>
      <c r="G28" s="36">
        <f t="shared" si="3"/>
        <v>0</v>
      </c>
      <c r="H28" s="502">
        <f t="shared" si="4"/>
        <v>0</v>
      </c>
      <c r="I28" s="82"/>
    </row>
    <row r="29" spans="1:9" ht="18" customHeight="1" x14ac:dyDescent="0.3">
      <c r="A29" s="1326"/>
      <c r="B29" s="1289"/>
      <c r="C29" s="151" t="s">
        <v>7</v>
      </c>
      <c r="D29" s="36">
        <v>73800000</v>
      </c>
      <c r="E29" s="65">
        <v>84036042</v>
      </c>
      <c r="F29" s="36">
        <v>73800000</v>
      </c>
      <c r="G29" s="36">
        <f t="shared" si="3"/>
        <v>0</v>
      </c>
      <c r="H29" s="502">
        <f t="shared" si="4"/>
        <v>0</v>
      </c>
      <c r="I29" s="37"/>
    </row>
    <row r="30" spans="1:9" ht="17.25" thickBot="1" x14ac:dyDescent="0.35">
      <c r="A30" s="1327"/>
      <c r="B30" s="1374" t="s">
        <v>476</v>
      </c>
      <c r="C30" s="1374"/>
      <c r="D30" s="539">
        <f>SUM(D28:D29)</f>
        <v>75800000</v>
      </c>
      <c r="E30" s="539">
        <f t="shared" ref="E30" si="6">SUM(E28:E29)</f>
        <v>86436042</v>
      </c>
      <c r="F30" s="539">
        <f>SUM(F28:F29)</f>
        <v>75800000</v>
      </c>
      <c r="G30" s="1090">
        <f t="shared" si="3"/>
        <v>0</v>
      </c>
      <c r="H30" s="682">
        <f t="shared" si="4"/>
        <v>0</v>
      </c>
      <c r="I30" s="41"/>
    </row>
    <row r="31" spans="1:9" ht="15.75" customHeight="1" x14ac:dyDescent="0.3">
      <c r="A31" s="1370" t="s">
        <v>163</v>
      </c>
      <c r="B31" s="1309" t="s">
        <v>163</v>
      </c>
      <c r="C31" s="618" t="s">
        <v>154</v>
      </c>
      <c r="D31" s="885">
        <v>1179045320</v>
      </c>
      <c r="E31" s="71">
        <f>446117100+509180860</f>
        <v>955297960</v>
      </c>
      <c r="F31" s="885">
        <v>1179045320</v>
      </c>
      <c r="G31" s="885">
        <f t="shared" si="3"/>
        <v>0</v>
      </c>
      <c r="H31" s="502">
        <f t="shared" si="4"/>
        <v>0</v>
      </c>
      <c r="I31" s="240"/>
    </row>
    <row r="32" spans="1:9" ht="15.75" customHeight="1" x14ac:dyDescent="0.3">
      <c r="A32" s="1364"/>
      <c r="B32" s="1288"/>
      <c r="C32" s="320" t="s">
        <v>155</v>
      </c>
      <c r="D32" s="884">
        <v>144000000</v>
      </c>
      <c r="E32" s="884">
        <f>53670220+91274300</f>
        <v>144944520</v>
      </c>
      <c r="F32" s="884">
        <v>144000000</v>
      </c>
      <c r="G32" s="885">
        <f t="shared" ref="G32:G33" si="7">F32-D32</f>
        <v>0</v>
      </c>
      <c r="H32" s="502">
        <f t="shared" si="4"/>
        <v>0</v>
      </c>
      <c r="I32" s="83"/>
    </row>
    <row r="33" spans="1:9" ht="17.25" thickBot="1" x14ac:dyDescent="0.35">
      <c r="A33" s="1365"/>
      <c r="B33" s="1368" t="s">
        <v>479</v>
      </c>
      <c r="C33" s="1369"/>
      <c r="D33" s="519">
        <f>SUM(D31:D32)</f>
        <v>1323045320</v>
      </c>
      <c r="E33" s="519">
        <f t="shared" ref="E33" si="8">SUM(E31:E32)</f>
        <v>1100242480</v>
      </c>
      <c r="F33" s="887">
        <f>SUM(F31:F32)</f>
        <v>1323045320</v>
      </c>
      <c r="G33" s="885">
        <f t="shared" si="7"/>
        <v>0</v>
      </c>
      <c r="H33" s="531">
        <f t="shared" si="4"/>
        <v>0</v>
      </c>
      <c r="I33" s="81"/>
    </row>
    <row r="34" spans="1:9" ht="21" customHeight="1" x14ac:dyDescent="0.3">
      <c r="A34" s="326"/>
      <c r="B34" s="1309" t="s">
        <v>4</v>
      </c>
      <c r="C34" s="319" t="s">
        <v>183</v>
      </c>
      <c r="D34" s="69"/>
      <c r="E34" s="69"/>
      <c r="F34" s="885"/>
      <c r="G34" s="71"/>
      <c r="H34" s="502"/>
      <c r="I34" s="240"/>
    </row>
    <row r="35" spans="1:9" ht="21" customHeight="1" x14ac:dyDescent="0.3">
      <c r="A35" s="620"/>
      <c r="B35" s="1309"/>
      <c r="C35" s="624" t="s">
        <v>184</v>
      </c>
      <c r="D35" s="69"/>
      <c r="E35" s="69"/>
      <c r="F35" s="885"/>
      <c r="G35" s="69"/>
      <c r="H35" s="502"/>
      <c r="I35" s="240"/>
    </row>
    <row r="36" spans="1:9" ht="21" customHeight="1" x14ac:dyDescent="0.3">
      <c r="A36" s="1303" t="s">
        <v>4</v>
      </c>
      <c r="B36" s="1288"/>
      <c r="C36" s="146" t="s">
        <v>359</v>
      </c>
      <c r="D36" s="884">
        <v>10000000</v>
      </c>
      <c r="E36" s="884"/>
      <c r="F36" s="884">
        <v>10000000</v>
      </c>
      <c r="G36" s="885">
        <f>F36-D36</f>
        <v>0</v>
      </c>
      <c r="H36" s="502">
        <f>G36/D36*100%</f>
        <v>0</v>
      </c>
      <c r="I36" s="83"/>
    </row>
    <row r="37" spans="1:9" ht="17.25" thickBot="1" x14ac:dyDescent="0.35">
      <c r="A37" s="1304"/>
      <c r="B37" s="1368" t="s">
        <v>480</v>
      </c>
      <c r="C37" s="1369"/>
      <c r="D37" s="519">
        <f>SUM(D34:D36)</f>
        <v>10000000</v>
      </c>
      <c r="E37" s="887">
        <f t="shared" ref="E37:G37" si="9">SUM(E34:E36)</f>
        <v>0</v>
      </c>
      <c r="F37" s="887">
        <f>SUM(F34:F36)</f>
        <v>10000000</v>
      </c>
      <c r="G37" s="887">
        <f t="shared" si="9"/>
        <v>0</v>
      </c>
      <c r="H37" s="502">
        <f>G37/D37*100%</f>
        <v>0</v>
      </c>
      <c r="I37" s="42"/>
    </row>
    <row r="38" spans="1:9" ht="16.5" customHeight="1" x14ac:dyDescent="0.3">
      <c r="A38" s="1302" t="s">
        <v>170</v>
      </c>
      <c r="B38" s="1308" t="s">
        <v>170</v>
      </c>
      <c r="C38" s="149" t="s">
        <v>9</v>
      </c>
      <c r="D38" s="43">
        <v>588039190</v>
      </c>
      <c r="E38" s="68">
        <f>168499904+204146683+104191998+111200605</f>
        <v>588039190</v>
      </c>
      <c r="F38" s="43">
        <v>588039190</v>
      </c>
      <c r="G38" s="1091">
        <f>F38-D38</f>
        <v>0</v>
      </c>
      <c r="H38" s="1050">
        <f>G38/D38*100%</f>
        <v>0</v>
      </c>
      <c r="I38" s="74"/>
    </row>
    <row r="39" spans="1:9" ht="16.5" customHeight="1" x14ac:dyDescent="0.3">
      <c r="A39" s="1303"/>
      <c r="B39" s="1288"/>
      <c r="C39" s="624" t="s">
        <v>174</v>
      </c>
      <c r="D39" s="133">
        <v>117042554</v>
      </c>
      <c r="E39" s="75">
        <f>117042554</f>
        <v>117042554</v>
      </c>
      <c r="F39" s="216">
        <v>117042554</v>
      </c>
      <c r="G39" s="884">
        <f t="shared" ref="G39:G40" si="10">F39-D39</f>
        <v>0</v>
      </c>
      <c r="H39" s="502">
        <f>G39/D39*100%</f>
        <v>0</v>
      </c>
      <c r="I39" s="239"/>
    </row>
    <row r="40" spans="1:9" ht="17.25" thickBot="1" x14ac:dyDescent="0.35">
      <c r="A40" s="1304"/>
      <c r="B40" s="1312" t="s">
        <v>465</v>
      </c>
      <c r="C40" s="1313"/>
      <c r="D40" s="519">
        <f>SUM(D38:D39)</f>
        <v>705081744</v>
      </c>
      <c r="E40" s="519">
        <f t="shared" ref="E40" si="11">SUM(E38:E39)</f>
        <v>705081744</v>
      </c>
      <c r="F40" s="887">
        <f>SUM(F38:F39)</f>
        <v>705081744</v>
      </c>
      <c r="G40" s="1040">
        <f t="shared" si="10"/>
        <v>0</v>
      </c>
      <c r="H40" s="682">
        <f>G40/D40*100%</f>
        <v>0</v>
      </c>
      <c r="I40" s="81"/>
    </row>
    <row r="41" spans="1:9" ht="20.25" customHeight="1" x14ac:dyDescent="0.3">
      <c r="A41" s="1456" t="s">
        <v>172</v>
      </c>
      <c r="B41" s="1323" t="s">
        <v>172</v>
      </c>
      <c r="C41" s="617" t="s">
        <v>354</v>
      </c>
      <c r="D41" s="71"/>
      <c r="E41" s="71"/>
      <c r="F41" s="1087"/>
      <c r="G41" s="155"/>
      <c r="H41" s="681"/>
      <c r="I41" s="79"/>
    </row>
    <row r="42" spans="1:9" ht="20.25" customHeight="1" x14ac:dyDescent="0.3">
      <c r="A42" s="1457"/>
      <c r="B42" s="1289"/>
      <c r="C42" s="619" t="s">
        <v>173</v>
      </c>
      <c r="D42" s="44">
        <v>650000</v>
      </c>
      <c r="E42" s="884">
        <f>86085+232698</f>
        <v>318783</v>
      </c>
      <c r="F42" s="44">
        <v>650000</v>
      </c>
      <c r="G42" s="36">
        <f>F42-D42</f>
        <v>0</v>
      </c>
      <c r="H42" s="502">
        <f t="shared" ref="H42:H49" si="12">G42/D42*100%</f>
        <v>0</v>
      </c>
      <c r="I42" s="83"/>
    </row>
    <row r="43" spans="1:9" ht="20.25" customHeight="1" x14ac:dyDescent="0.3">
      <c r="A43" s="1457"/>
      <c r="B43" s="1289"/>
      <c r="C43" s="619" t="s">
        <v>175</v>
      </c>
      <c r="D43" s="44">
        <v>16800000</v>
      </c>
      <c r="E43" s="884">
        <v>15732500</v>
      </c>
      <c r="F43" s="44">
        <v>16800000</v>
      </c>
      <c r="G43" s="36">
        <f t="shared" ref="G43:G45" si="13">F43-D43</f>
        <v>0</v>
      </c>
      <c r="H43" s="502">
        <f t="shared" si="12"/>
        <v>0</v>
      </c>
      <c r="I43" s="83"/>
    </row>
    <row r="44" spans="1:9" ht="20.25" customHeight="1" x14ac:dyDescent="0.3">
      <c r="A44" s="1457"/>
      <c r="B44" s="1289"/>
      <c r="C44" s="619" t="s">
        <v>10</v>
      </c>
      <c r="D44" s="44">
        <v>7300000</v>
      </c>
      <c r="E44" s="884">
        <f>9150+13552880</f>
        <v>13562030</v>
      </c>
      <c r="F44" s="44">
        <v>7300000</v>
      </c>
      <c r="G44" s="36">
        <f t="shared" si="13"/>
        <v>0</v>
      </c>
      <c r="H44" s="502">
        <f t="shared" si="12"/>
        <v>0</v>
      </c>
      <c r="I44" s="83"/>
    </row>
    <row r="45" spans="1:9" ht="17.25" thickBot="1" x14ac:dyDescent="0.35">
      <c r="A45" s="1458"/>
      <c r="B45" s="1374" t="s">
        <v>481</v>
      </c>
      <c r="C45" s="1374"/>
      <c r="D45" s="519">
        <f>SUM(D41:D44)</f>
        <v>24750000</v>
      </c>
      <c r="E45" s="519">
        <f t="shared" ref="E45" si="14">SUM(E41:E44)</f>
        <v>29613313</v>
      </c>
      <c r="F45" s="887">
        <f>SUM(F41:F44)</f>
        <v>24750000</v>
      </c>
      <c r="G45" s="1092">
        <f t="shared" si="13"/>
        <v>0</v>
      </c>
      <c r="H45" s="682">
        <f t="shared" si="12"/>
        <v>0</v>
      </c>
      <c r="I45" s="81"/>
    </row>
    <row r="46" spans="1:9" ht="27.75" customHeight="1" x14ac:dyDescent="0.3">
      <c r="A46" s="1325" t="s">
        <v>176</v>
      </c>
      <c r="B46" s="1288" t="s">
        <v>177</v>
      </c>
      <c r="C46" s="618" t="s">
        <v>178</v>
      </c>
      <c r="D46" s="884">
        <v>12000000</v>
      </c>
      <c r="E46" s="872">
        <v>11000000</v>
      </c>
      <c r="F46" s="884">
        <v>12000000</v>
      </c>
      <c r="G46" s="36">
        <f>F46-D46</f>
        <v>0</v>
      </c>
      <c r="H46" s="502">
        <f t="shared" si="12"/>
        <v>0</v>
      </c>
      <c r="I46" s="240"/>
    </row>
    <row r="47" spans="1:9" ht="20.25" customHeight="1" x14ac:dyDescent="0.3">
      <c r="A47" s="1326"/>
      <c r="B47" s="1289"/>
      <c r="C47" s="320" t="s">
        <v>179</v>
      </c>
      <c r="D47" s="884">
        <v>12000000</v>
      </c>
      <c r="E47" s="872">
        <v>11000000</v>
      </c>
      <c r="F47" s="884">
        <v>12000000</v>
      </c>
      <c r="G47" s="36">
        <f t="shared" ref="G47:G49" si="15">F47-D47</f>
        <v>0</v>
      </c>
      <c r="H47" s="502">
        <f t="shared" si="12"/>
        <v>0</v>
      </c>
      <c r="I47" s="83"/>
    </row>
    <row r="48" spans="1:9" ht="17.25" thickBot="1" x14ac:dyDescent="0.35">
      <c r="A48" s="1459"/>
      <c r="B48" s="1374" t="s">
        <v>465</v>
      </c>
      <c r="C48" s="1374"/>
      <c r="D48" s="887">
        <f>SUM(D46:D47)</f>
        <v>24000000</v>
      </c>
      <c r="E48" s="887">
        <f t="shared" ref="E48" si="16">SUM(E46:E47)</f>
        <v>22000000</v>
      </c>
      <c r="F48" s="887">
        <f>SUM(F46:F47)</f>
        <v>24000000</v>
      </c>
      <c r="G48" s="1093">
        <f t="shared" si="15"/>
        <v>0</v>
      </c>
      <c r="H48" s="682">
        <f t="shared" si="12"/>
        <v>0</v>
      </c>
      <c r="I48" s="135"/>
    </row>
    <row r="49" spans="1:9" ht="17.25" thickBot="1" x14ac:dyDescent="0.35">
      <c r="A49" s="1391" t="s">
        <v>482</v>
      </c>
      <c r="B49" s="1392"/>
      <c r="C49" s="1393"/>
      <c r="D49" s="302">
        <f>SUM(D13,D22,D27,D30,D33,D37,D40,D45,D48)</f>
        <v>2907526012</v>
      </c>
      <c r="E49" s="302">
        <f t="shared" ref="E49" si="17">SUM(E13,E22,E27,E30,E33,E37,E40,E45,E48)</f>
        <v>2606058323</v>
      </c>
      <c r="F49" s="302">
        <f>SUM(F13,F22,F27,F30,F33,F37,F40,F45,F48)</f>
        <v>2907526012</v>
      </c>
      <c r="G49" s="1094">
        <f t="shared" si="15"/>
        <v>0</v>
      </c>
      <c r="H49" s="690">
        <f t="shared" si="12"/>
        <v>0</v>
      </c>
      <c r="I49" s="78"/>
    </row>
    <row r="50" spans="1:9" ht="17.25" thickBot="1" x14ac:dyDescent="0.35">
      <c r="A50" s="1527" t="s">
        <v>661</v>
      </c>
      <c r="B50" s="1528"/>
      <c r="C50" s="1528"/>
      <c r="D50" s="1528"/>
      <c r="E50" s="1528"/>
      <c r="F50" s="1528"/>
      <c r="G50" s="1528"/>
      <c r="H50" s="1528"/>
      <c r="I50" s="1528"/>
    </row>
    <row r="51" spans="1:9" ht="17.45" customHeight="1" x14ac:dyDescent="0.3">
      <c r="A51" s="1314" t="s">
        <v>29</v>
      </c>
      <c r="B51" s="1315"/>
      <c r="C51" s="1315"/>
      <c r="D51" s="1273" t="s">
        <v>237</v>
      </c>
      <c r="E51" s="1273" t="s">
        <v>394</v>
      </c>
      <c r="F51" s="1273" t="s">
        <v>310</v>
      </c>
      <c r="G51" s="1273" t="s">
        <v>59</v>
      </c>
      <c r="H51" s="1525" t="s">
        <v>49</v>
      </c>
      <c r="I51" s="1277" t="s">
        <v>61</v>
      </c>
    </row>
    <row r="52" spans="1:9" ht="18" customHeight="1" thickBot="1" x14ac:dyDescent="0.35">
      <c r="A52" s="84" t="s">
        <v>0</v>
      </c>
      <c r="B52" s="136" t="s">
        <v>1</v>
      </c>
      <c r="C52" s="136" t="s">
        <v>2</v>
      </c>
      <c r="D52" s="1274"/>
      <c r="E52" s="1274"/>
      <c r="F52" s="1274"/>
      <c r="G52" s="1274"/>
      <c r="H52" s="1526"/>
      <c r="I52" s="1278"/>
    </row>
    <row r="53" spans="1:9" ht="19.899999999999999" customHeight="1" x14ac:dyDescent="0.3">
      <c r="A53" s="159" t="s">
        <v>185</v>
      </c>
      <c r="B53" s="1323" t="s">
        <v>186</v>
      </c>
      <c r="C53" s="536" t="s">
        <v>17</v>
      </c>
      <c r="D53" s="35">
        <v>919210040</v>
      </c>
      <c r="E53" s="43">
        <f>292914030+452414070</f>
        <v>745328100</v>
      </c>
      <c r="F53" s="35">
        <v>919210040</v>
      </c>
      <c r="G53" s="543">
        <f>F53-D53</f>
        <v>0</v>
      </c>
      <c r="H53" s="453">
        <f>G53/D53*100%</f>
        <v>0</v>
      </c>
      <c r="I53" s="544"/>
    </row>
    <row r="54" spans="1:9" ht="16.149999999999999" customHeight="1" x14ac:dyDescent="0.3">
      <c r="A54" s="64"/>
      <c r="B54" s="1289"/>
      <c r="C54" s="150" t="s">
        <v>32</v>
      </c>
      <c r="D54" s="35">
        <v>268070940</v>
      </c>
      <c r="E54" s="35">
        <f>102977190+68561443</f>
        <v>171538633</v>
      </c>
      <c r="F54" s="206">
        <v>268070940</v>
      </c>
      <c r="G54" s="884">
        <f t="shared" ref="G54:G59" si="18">F54-D54</f>
        <v>0</v>
      </c>
      <c r="H54" s="1055">
        <f>G54/D54*100%</f>
        <v>0</v>
      </c>
      <c r="I54" s="37"/>
    </row>
    <row r="55" spans="1:9" ht="18" customHeight="1" x14ac:dyDescent="0.3">
      <c r="A55" s="64"/>
      <c r="B55" s="1289"/>
      <c r="C55" s="150" t="s">
        <v>180</v>
      </c>
      <c r="D55" s="36">
        <v>5000000</v>
      </c>
      <c r="E55" s="36">
        <v>419160</v>
      </c>
      <c r="F55" s="459">
        <v>5000000</v>
      </c>
      <c r="G55" s="884">
        <f t="shared" si="18"/>
        <v>0</v>
      </c>
      <c r="H55" s="1055">
        <f>G55/D55*100%</f>
        <v>0</v>
      </c>
      <c r="I55" s="37"/>
    </row>
    <row r="56" spans="1:9" ht="19.899999999999999" customHeight="1" x14ac:dyDescent="0.3">
      <c r="A56" s="64"/>
      <c r="B56" s="1289"/>
      <c r="C56" s="150" t="s">
        <v>84</v>
      </c>
      <c r="D56" s="35">
        <v>98940090</v>
      </c>
      <c r="E56" s="35">
        <f>28064582+44202620</f>
        <v>72267202</v>
      </c>
      <c r="F56" s="206">
        <v>98940090</v>
      </c>
      <c r="G56" s="884">
        <f t="shared" si="18"/>
        <v>0</v>
      </c>
      <c r="H56" s="1055">
        <f>G56/D56*100%</f>
        <v>0</v>
      </c>
      <c r="I56" s="37"/>
    </row>
    <row r="57" spans="1:9" ht="21" customHeight="1" x14ac:dyDescent="0.3">
      <c r="A57" s="64"/>
      <c r="B57" s="1289"/>
      <c r="C57" s="150" t="s">
        <v>33</v>
      </c>
      <c r="D57" s="35">
        <v>125733800</v>
      </c>
      <c r="E57" s="35">
        <f>31381080+43525770</f>
        <v>74906850</v>
      </c>
      <c r="F57" s="206">
        <v>125733800</v>
      </c>
      <c r="G57" s="884">
        <f t="shared" si="18"/>
        <v>0</v>
      </c>
      <c r="H57" s="1055">
        <f>G57/D57*100%</f>
        <v>0</v>
      </c>
      <c r="I57" s="37"/>
    </row>
    <row r="58" spans="1:9" ht="18" customHeight="1" x14ac:dyDescent="0.3">
      <c r="A58" s="64"/>
      <c r="B58" s="1289"/>
      <c r="C58" s="150" t="s">
        <v>18</v>
      </c>
      <c r="D58" s="35"/>
      <c r="E58" s="35"/>
      <c r="F58" s="206"/>
      <c r="G58" s="884">
        <f t="shared" si="18"/>
        <v>0</v>
      </c>
      <c r="H58" s="1055"/>
      <c r="I58" s="37"/>
    </row>
    <row r="59" spans="1:9" ht="17.25" thickBot="1" x14ac:dyDescent="0.35">
      <c r="A59" s="64"/>
      <c r="B59" s="1324"/>
      <c r="C59" s="1083" t="s">
        <v>483</v>
      </c>
      <c r="D59" s="539">
        <f>SUM(D53:D58)</f>
        <v>1416954870</v>
      </c>
      <c r="E59" s="539">
        <f t="shared" ref="E59" si="19">SUM(E53:E58)</f>
        <v>1064459945</v>
      </c>
      <c r="F59" s="539">
        <f>SUM(F53:F58)</f>
        <v>1416954870</v>
      </c>
      <c r="G59" s="1095">
        <f t="shared" si="18"/>
        <v>0</v>
      </c>
      <c r="H59" s="540">
        <f t="shared" ref="H59:H66" si="20">G59/D59*100%</f>
        <v>0</v>
      </c>
      <c r="I59" s="42"/>
    </row>
    <row r="60" spans="1:9" ht="18.75" customHeight="1" x14ac:dyDescent="0.3">
      <c r="A60" s="64"/>
      <c r="B60" s="1323" t="s">
        <v>90</v>
      </c>
      <c r="C60" s="149" t="s">
        <v>19</v>
      </c>
      <c r="D60" s="35">
        <v>6600000</v>
      </c>
      <c r="E60" s="43">
        <f>50000+1198680</f>
        <v>1248680</v>
      </c>
      <c r="F60" s="35">
        <v>6600000</v>
      </c>
      <c r="G60" s="543">
        <f>F60-D60</f>
        <v>0</v>
      </c>
      <c r="H60" s="453">
        <f t="shared" si="20"/>
        <v>0</v>
      </c>
      <c r="I60" s="544"/>
    </row>
    <row r="61" spans="1:9" ht="18.75" customHeight="1" x14ac:dyDescent="0.3">
      <c r="A61" s="64"/>
      <c r="B61" s="1289"/>
      <c r="C61" s="219" t="s">
        <v>182</v>
      </c>
      <c r="D61" s="35">
        <v>3000000</v>
      </c>
      <c r="E61" s="35">
        <f>2481780</f>
        <v>2481780</v>
      </c>
      <c r="F61" s="206">
        <v>3000000</v>
      </c>
      <c r="G61" s="884">
        <f t="shared" ref="G61:G63" si="21">F61-D61</f>
        <v>0</v>
      </c>
      <c r="H61" s="1055">
        <f t="shared" si="20"/>
        <v>0</v>
      </c>
      <c r="I61" s="37"/>
    </row>
    <row r="62" spans="1:9" ht="18.75" customHeight="1" x14ac:dyDescent="0.3">
      <c r="A62" s="64"/>
      <c r="B62" s="1289"/>
      <c r="C62" s="150" t="s">
        <v>20</v>
      </c>
      <c r="D62" s="35">
        <v>28180000</v>
      </c>
      <c r="E62" s="35">
        <f>1377100+869300</f>
        <v>2246400</v>
      </c>
      <c r="F62" s="206">
        <v>28180000</v>
      </c>
      <c r="G62" s="884">
        <f t="shared" si="21"/>
        <v>0</v>
      </c>
      <c r="H62" s="1055">
        <f t="shared" si="20"/>
        <v>0</v>
      </c>
      <c r="I62" s="37"/>
    </row>
    <row r="63" spans="1:9" ht="17.25" thickBot="1" x14ac:dyDescent="0.35">
      <c r="A63" s="64"/>
      <c r="B63" s="1324"/>
      <c r="C63" s="1083" t="s">
        <v>483</v>
      </c>
      <c r="D63" s="539">
        <f>SUM(D60:D62)</f>
        <v>37780000</v>
      </c>
      <c r="E63" s="539">
        <f t="shared" ref="E63" si="22">SUM(E60:E62)</f>
        <v>5976860</v>
      </c>
      <c r="F63" s="539">
        <f>SUM(F60:F62)</f>
        <v>37780000</v>
      </c>
      <c r="G63" s="1095">
        <f t="shared" si="21"/>
        <v>0</v>
      </c>
      <c r="H63" s="540">
        <f t="shared" si="20"/>
        <v>0</v>
      </c>
      <c r="I63" s="41"/>
    </row>
    <row r="64" spans="1:9" ht="15.75" customHeight="1" x14ac:dyDescent="0.3">
      <c r="A64" s="64"/>
      <c r="B64" s="1323" t="s">
        <v>131</v>
      </c>
      <c r="C64" s="536" t="s">
        <v>21</v>
      </c>
      <c r="D64" s="35">
        <v>4200000</v>
      </c>
      <c r="E64" s="543">
        <f>500000</f>
        <v>500000</v>
      </c>
      <c r="F64" s="35">
        <v>4200000</v>
      </c>
      <c r="G64" s="543">
        <f>F64-D64</f>
        <v>0</v>
      </c>
      <c r="H64" s="453">
        <f t="shared" si="20"/>
        <v>0</v>
      </c>
      <c r="I64" s="544"/>
    </row>
    <row r="65" spans="1:9" ht="15.75" customHeight="1" x14ac:dyDescent="0.3">
      <c r="A65" s="64"/>
      <c r="B65" s="1289"/>
      <c r="C65" s="150" t="s">
        <v>34</v>
      </c>
      <c r="D65" s="77">
        <v>45712000</v>
      </c>
      <c r="E65" s="132">
        <f>670300+16975891</f>
        <v>17646191</v>
      </c>
      <c r="F65" s="212">
        <v>45712000</v>
      </c>
      <c r="G65" s="884">
        <f t="shared" ref="G65:G72" si="23">F65-D65</f>
        <v>0</v>
      </c>
      <c r="H65" s="1055">
        <f t="shared" si="20"/>
        <v>0</v>
      </c>
      <c r="I65" s="37"/>
    </row>
    <row r="66" spans="1:9" ht="15.75" customHeight="1" x14ac:dyDescent="0.3">
      <c r="A66" s="64"/>
      <c r="B66" s="1289"/>
      <c r="C66" s="150" t="s">
        <v>23</v>
      </c>
      <c r="D66" s="77">
        <v>159940000</v>
      </c>
      <c r="E66" s="44">
        <f>9948020+69201005</f>
        <v>79149025</v>
      </c>
      <c r="F66" s="212">
        <v>159940000</v>
      </c>
      <c r="G66" s="884">
        <f t="shared" si="23"/>
        <v>0</v>
      </c>
      <c r="H66" s="1055">
        <f t="shared" si="20"/>
        <v>0</v>
      </c>
      <c r="I66" s="37"/>
    </row>
    <row r="67" spans="1:9" ht="15.75" customHeight="1" x14ac:dyDescent="0.3">
      <c r="A67" s="64"/>
      <c r="B67" s="1289"/>
      <c r="C67" s="150" t="s">
        <v>24</v>
      </c>
      <c r="D67" s="77"/>
      <c r="E67" s="44"/>
      <c r="F67" s="212"/>
      <c r="G67" s="884">
        <f t="shared" si="23"/>
        <v>0</v>
      </c>
      <c r="H67" s="1055"/>
      <c r="I67" s="37"/>
    </row>
    <row r="68" spans="1:9" ht="15.75" customHeight="1" x14ac:dyDescent="0.3">
      <c r="A68" s="99"/>
      <c r="B68" s="1289"/>
      <c r="C68" s="150" t="s">
        <v>35</v>
      </c>
      <c r="D68" s="156">
        <v>47200000</v>
      </c>
      <c r="E68" s="132">
        <f>193000+10150944</f>
        <v>10343944</v>
      </c>
      <c r="F68" s="686">
        <v>47200000</v>
      </c>
      <c r="G68" s="884">
        <f t="shared" si="23"/>
        <v>0</v>
      </c>
      <c r="H68" s="1055">
        <f>G68/D68*100%</f>
        <v>0</v>
      </c>
      <c r="I68" s="76"/>
    </row>
    <row r="69" spans="1:9" ht="15.75" customHeight="1" x14ac:dyDescent="0.3">
      <c r="A69" s="99"/>
      <c r="B69" s="1289"/>
      <c r="C69" s="624" t="s">
        <v>86</v>
      </c>
      <c r="D69" s="44"/>
      <c r="E69" s="44"/>
      <c r="F69" s="209"/>
      <c r="G69" s="884">
        <f t="shared" si="23"/>
        <v>0</v>
      </c>
      <c r="H69" s="1055"/>
      <c r="I69" s="83"/>
    </row>
    <row r="70" spans="1:9" ht="15.75" customHeight="1" x14ac:dyDescent="0.3">
      <c r="A70" s="99"/>
      <c r="B70" s="1289"/>
      <c r="C70" s="624" t="s">
        <v>36</v>
      </c>
      <c r="D70" s="44">
        <v>85150000</v>
      </c>
      <c r="E70" s="44">
        <f>7547960+5290470</f>
        <v>12838430</v>
      </c>
      <c r="F70" s="209">
        <v>85150000</v>
      </c>
      <c r="G70" s="884">
        <f t="shared" si="23"/>
        <v>0</v>
      </c>
      <c r="H70" s="1055">
        <f t="shared" ref="H70:H78" si="24">G70/D70*100%</f>
        <v>0</v>
      </c>
      <c r="I70" s="83"/>
    </row>
    <row r="71" spans="1:9" ht="17.25" thickBot="1" x14ac:dyDescent="0.35">
      <c r="A71" s="99"/>
      <c r="B71" s="1324"/>
      <c r="C71" s="1082" t="s">
        <v>483</v>
      </c>
      <c r="D71" s="580">
        <f>SUM(D64:D70)</f>
        <v>342202000</v>
      </c>
      <c r="E71" s="580">
        <f t="shared" ref="E71" si="25">SUM(E64:E70)</f>
        <v>120477590</v>
      </c>
      <c r="F71" s="580">
        <f>SUM(F64:F70)</f>
        <v>342202000</v>
      </c>
      <c r="G71" s="1096">
        <f t="shared" si="23"/>
        <v>0</v>
      </c>
      <c r="H71" s="540">
        <f t="shared" si="24"/>
        <v>0</v>
      </c>
      <c r="I71" s="41"/>
    </row>
    <row r="72" spans="1:9" ht="17.25" thickBot="1" x14ac:dyDescent="0.35">
      <c r="A72" s="137" t="s">
        <v>123</v>
      </c>
      <c r="B72" s="1321" t="s">
        <v>466</v>
      </c>
      <c r="C72" s="1322"/>
      <c r="D72" s="576">
        <f>SUM(D59,D63,D71)</f>
        <v>1796936870</v>
      </c>
      <c r="E72" s="520">
        <f t="shared" ref="E72" si="26">SUM(E59,E63,E71)</f>
        <v>1190914395</v>
      </c>
      <c r="F72" s="889">
        <f>SUM(F59,F63,F71)</f>
        <v>1796936870</v>
      </c>
      <c r="G72" s="553">
        <f t="shared" si="23"/>
        <v>0</v>
      </c>
      <c r="H72" s="577">
        <f t="shared" si="24"/>
        <v>0</v>
      </c>
      <c r="I72" s="41"/>
    </row>
    <row r="73" spans="1:9" ht="15.75" customHeight="1" x14ac:dyDescent="0.3">
      <c r="A73" s="1325" t="s">
        <v>189</v>
      </c>
      <c r="B73" s="1288" t="s">
        <v>42</v>
      </c>
      <c r="C73" s="151" t="s">
        <v>11</v>
      </c>
      <c r="D73" s="71">
        <v>30000000</v>
      </c>
      <c r="E73" s="70">
        <v>991000</v>
      </c>
      <c r="F73" s="71">
        <v>30000000</v>
      </c>
      <c r="G73" s="543">
        <f>F73-D73</f>
        <v>0</v>
      </c>
      <c r="H73" s="130">
        <f t="shared" si="24"/>
        <v>0</v>
      </c>
      <c r="I73" s="37"/>
    </row>
    <row r="74" spans="1:9" ht="15.75" customHeight="1" x14ac:dyDescent="0.3">
      <c r="A74" s="1325"/>
      <c r="B74" s="1288"/>
      <c r="C74" s="480" t="s">
        <v>341</v>
      </c>
      <c r="D74" s="77">
        <v>20000000</v>
      </c>
      <c r="E74" s="221">
        <v>2960000</v>
      </c>
      <c r="F74" s="212">
        <v>20000000</v>
      </c>
      <c r="G74" s="884">
        <f t="shared" ref="G74:G76" si="27">F74-D74</f>
        <v>0</v>
      </c>
      <c r="H74" s="1055">
        <f t="shared" si="24"/>
        <v>0</v>
      </c>
      <c r="I74" s="37"/>
    </row>
    <row r="75" spans="1:9" ht="15.75" customHeight="1" x14ac:dyDescent="0.3">
      <c r="A75" s="1326"/>
      <c r="B75" s="1289"/>
      <c r="C75" s="146" t="s">
        <v>37</v>
      </c>
      <c r="D75" s="77">
        <v>28772000</v>
      </c>
      <c r="E75" s="44">
        <v>9427030</v>
      </c>
      <c r="F75" s="212">
        <v>28772000</v>
      </c>
      <c r="G75" s="884">
        <f t="shared" si="27"/>
        <v>0</v>
      </c>
      <c r="H75" s="1055">
        <f t="shared" si="24"/>
        <v>0</v>
      </c>
      <c r="I75" s="37"/>
    </row>
    <row r="76" spans="1:9" ht="17.25" thickBot="1" x14ac:dyDescent="0.35">
      <c r="A76" s="1327"/>
      <c r="B76" s="1300" t="s">
        <v>465</v>
      </c>
      <c r="C76" s="1301"/>
      <c r="D76" s="569">
        <f>SUM(D73:D75)</f>
        <v>78772000</v>
      </c>
      <c r="E76" s="569">
        <f t="shared" ref="E76" si="28">SUM(E73:E75)</f>
        <v>13378030</v>
      </c>
      <c r="F76" s="888">
        <f>SUM(F73:F75)</f>
        <v>78772000</v>
      </c>
      <c r="G76" s="1095">
        <f t="shared" si="27"/>
        <v>0</v>
      </c>
      <c r="H76" s="572">
        <f t="shared" si="24"/>
        <v>0</v>
      </c>
      <c r="I76" s="42"/>
    </row>
    <row r="77" spans="1:9" x14ac:dyDescent="0.3">
      <c r="A77" s="1302" t="s">
        <v>272</v>
      </c>
      <c r="B77" s="1305" t="s">
        <v>131</v>
      </c>
      <c r="C77" s="585" t="s">
        <v>132</v>
      </c>
      <c r="D77" s="1051">
        <f>48987500+16800000</f>
        <v>65787500</v>
      </c>
      <c r="E77" s="70">
        <f>32669000+11742500</f>
        <v>44411500</v>
      </c>
      <c r="F77" s="1051">
        <f>48987500+16800000</f>
        <v>65787500</v>
      </c>
      <c r="G77" s="1097">
        <f>F77-D77</f>
        <v>0</v>
      </c>
      <c r="H77" s="453">
        <f t="shared" si="24"/>
        <v>0</v>
      </c>
      <c r="I77" s="79"/>
    </row>
    <row r="78" spans="1:9" x14ac:dyDescent="0.3">
      <c r="A78" s="1303"/>
      <c r="B78" s="1306"/>
      <c r="C78" s="622" t="s">
        <v>133</v>
      </c>
      <c r="D78" s="1051">
        <v>6600000</v>
      </c>
      <c r="E78" s="221">
        <v>175470</v>
      </c>
      <c r="F78" s="1051">
        <v>6600000</v>
      </c>
      <c r="G78" s="884">
        <f t="shared" ref="G78:G82" si="29">F78-D78</f>
        <v>0</v>
      </c>
      <c r="H78" s="1055">
        <f t="shared" si="24"/>
        <v>0</v>
      </c>
      <c r="I78" s="240"/>
    </row>
    <row r="79" spans="1:9" x14ac:dyDescent="0.3">
      <c r="A79" s="1303"/>
      <c r="B79" s="1306"/>
      <c r="C79" s="622" t="s">
        <v>194</v>
      </c>
      <c r="D79" s="1051"/>
      <c r="E79" s="221"/>
      <c r="F79" s="1051"/>
      <c r="G79" s="884">
        <f t="shared" si="29"/>
        <v>0</v>
      </c>
      <c r="H79" s="1055"/>
      <c r="I79" s="240"/>
    </row>
    <row r="80" spans="1:9" x14ac:dyDescent="0.3">
      <c r="A80" s="1303"/>
      <c r="B80" s="1306"/>
      <c r="C80" s="230" t="s">
        <v>134</v>
      </c>
      <c r="D80" s="1051">
        <v>4000000</v>
      </c>
      <c r="E80" s="44">
        <v>231530</v>
      </c>
      <c r="F80" s="1051">
        <v>4000000</v>
      </c>
      <c r="G80" s="884">
        <f t="shared" si="29"/>
        <v>0</v>
      </c>
      <c r="H80" s="1055">
        <f>G80/D80*100%</f>
        <v>0</v>
      </c>
      <c r="I80" s="83"/>
    </row>
    <row r="81" spans="1:9" x14ac:dyDescent="0.3">
      <c r="A81" s="1303"/>
      <c r="B81" s="1306"/>
      <c r="C81" s="230" t="s">
        <v>195</v>
      </c>
      <c r="D81" s="1051">
        <v>13425000</v>
      </c>
      <c r="E81" s="44">
        <v>9334000</v>
      </c>
      <c r="F81" s="1051">
        <v>13425000</v>
      </c>
      <c r="G81" s="884">
        <f t="shared" si="29"/>
        <v>0</v>
      </c>
      <c r="H81" s="1055">
        <f>G81/D81*100%</f>
        <v>0</v>
      </c>
      <c r="I81" s="83"/>
    </row>
    <row r="82" spans="1:9" ht="17.25" thickBot="1" x14ac:dyDescent="0.35">
      <c r="A82" s="1303"/>
      <c r="B82" s="1307"/>
      <c r="C82" s="1099" t="s">
        <v>483</v>
      </c>
      <c r="D82" s="519">
        <f>SUM(D77:D81)</f>
        <v>89812500</v>
      </c>
      <c r="E82" s="519">
        <f t="shared" ref="E82" si="30">SUM(E77:E81)</f>
        <v>54152500</v>
      </c>
      <c r="F82" s="887">
        <f>SUM(F77:F81)</f>
        <v>89812500</v>
      </c>
      <c r="G82" s="1098">
        <f t="shared" si="29"/>
        <v>0</v>
      </c>
      <c r="H82" s="540">
        <f>G82/D82*100%</f>
        <v>0</v>
      </c>
      <c r="I82" s="81"/>
    </row>
    <row r="83" spans="1:9" ht="15" customHeight="1" x14ac:dyDescent="0.3">
      <c r="A83" s="1303"/>
      <c r="B83" s="1309" t="s">
        <v>197</v>
      </c>
      <c r="C83" s="623" t="s">
        <v>164</v>
      </c>
      <c r="D83" s="221"/>
      <c r="E83" s="221"/>
      <c r="F83" s="221"/>
      <c r="G83" s="69"/>
      <c r="H83" s="130"/>
      <c r="I83" s="240"/>
    </row>
    <row r="84" spans="1:9" ht="15" customHeight="1" x14ac:dyDescent="0.3">
      <c r="A84" s="1303"/>
      <c r="B84" s="1309"/>
      <c r="C84" s="146" t="s">
        <v>191</v>
      </c>
      <c r="D84" s="44"/>
      <c r="E84" s="44"/>
      <c r="F84" s="44"/>
      <c r="G84" s="66"/>
      <c r="H84" s="130"/>
      <c r="I84" s="83"/>
    </row>
    <row r="85" spans="1:9" ht="15" customHeight="1" x14ac:dyDescent="0.3">
      <c r="A85" s="1303"/>
      <c r="B85" s="1309"/>
      <c r="C85" s="146" t="s">
        <v>192</v>
      </c>
      <c r="D85" s="44"/>
      <c r="E85" s="44"/>
      <c r="F85" s="44"/>
      <c r="G85" s="66"/>
      <c r="H85" s="130"/>
      <c r="I85" s="83"/>
    </row>
    <row r="86" spans="1:9" ht="15" customHeight="1" x14ac:dyDescent="0.3">
      <c r="A86" s="1303"/>
      <c r="B86" s="1309"/>
      <c r="C86" s="146" t="s">
        <v>140</v>
      </c>
      <c r="D86" s="44"/>
      <c r="E86" s="44"/>
      <c r="F86" s="44"/>
      <c r="G86" s="66"/>
      <c r="H86" s="130"/>
      <c r="I86" s="83"/>
    </row>
    <row r="87" spans="1:9" ht="15" customHeight="1" x14ac:dyDescent="0.3">
      <c r="A87" s="1303"/>
      <c r="B87" s="1309"/>
      <c r="C87" s="146" t="s">
        <v>137</v>
      </c>
      <c r="D87" s="44"/>
      <c r="E87" s="44"/>
      <c r="F87" s="44"/>
      <c r="G87" s="66"/>
      <c r="H87" s="130"/>
      <c r="I87" s="83"/>
    </row>
    <row r="88" spans="1:9" ht="15" customHeight="1" x14ac:dyDescent="0.3">
      <c r="A88" s="1303"/>
      <c r="B88" s="1309"/>
      <c r="C88" s="146" t="s">
        <v>141</v>
      </c>
      <c r="D88" s="44"/>
      <c r="E88" s="44"/>
      <c r="F88" s="44"/>
      <c r="G88" s="66"/>
      <c r="H88" s="130"/>
      <c r="I88" s="83"/>
    </row>
    <row r="89" spans="1:9" ht="15" customHeight="1" x14ac:dyDescent="0.3">
      <c r="A89" s="1303"/>
      <c r="B89" s="1309"/>
      <c r="C89" s="146" t="s">
        <v>138</v>
      </c>
      <c r="D89" s="44"/>
      <c r="E89" s="44"/>
      <c r="F89" s="44"/>
      <c r="G89" s="66"/>
      <c r="H89" s="130"/>
      <c r="I89" s="83"/>
    </row>
    <row r="90" spans="1:9" ht="15" customHeight="1" x14ac:dyDescent="0.3">
      <c r="A90" s="1303"/>
      <c r="B90" s="1309"/>
      <c r="C90" s="146" t="s">
        <v>139</v>
      </c>
      <c r="D90" s="44"/>
      <c r="E90" s="44"/>
      <c r="F90" s="44"/>
      <c r="G90" s="66"/>
      <c r="H90" s="130"/>
      <c r="I90" s="83"/>
    </row>
    <row r="91" spans="1:9" ht="15" customHeight="1" x14ac:dyDescent="0.3">
      <c r="A91" s="1303"/>
      <c r="B91" s="1309"/>
      <c r="C91" s="146" t="s">
        <v>136</v>
      </c>
      <c r="D91" s="44"/>
      <c r="E91" s="44"/>
      <c r="F91" s="44"/>
      <c r="G91" s="66"/>
      <c r="H91" s="130"/>
      <c r="I91" s="83"/>
    </row>
    <row r="92" spans="1:9" ht="15" customHeight="1" x14ac:dyDescent="0.3">
      <c r="A92" s="1303"/>
      <c r="B92" s="1309"/>
      <c r="C92" s="146" t="s">
        <v>135</v>
      </c>
      <c r="D92" s="44"/>
      <c r="E92" s="44"/>
      <c r="F92" s="44"/>
      <c r="G92" s="66"/>
      <c r="H92" s="130"/>
      <c r="I92" s="83"/>
    </row>
    <row r="93" spans="1:9" ht="15" customHeight="1" x14ac:dyDescent="0.3">
      <c r="A93" s="1303"/>
      <c r="B93" s="1309"/>
      <c r="C93" s="146" t="s">
        <v>193</v>
      </c>
      <c r="D93" s="44">
        <v>73320000</v>
      </c>
      <c r="E93" s="44">
        <f>155300+49461821</f>
        <v>49617121</v>
      </c>
      <c r="F93" s="44">
        <v>73320000</v>
      </c>
      <c r="G93" s="884">
        <f>F93-D93</f>
        <v>0</v>
      </c>
      <c r="H93" s="130">
        <f>G93/D93*100%</f>
        <v>0</v>
      </c>
      <c r="I93" s="83"/>
    </row>
    <row r="94" spans="1:9" ht="15" customHeight="1" x14ac:dyDescent="0.3">
      <c r="A94" s="1303"/>
      <c r="B94" s="1309"/>
      <c r="C94" s="146" t="s">
        <v>239</v>
      </c>
      <c r="D94" s="44">
        <v>3300000</v>
      </c>
      <c r="E94" s="44">
        <v>54000</v>
      </c>
      <c r="F94" s="44">
        <v>3300000</v>
      </c>
      <c r="G94" s="884">
        <f t="shared" ref="G94:G106" si="31">F94-D94</f>
        <v>0</v>
      </c>
      <c r="H94" s="130">
        <f>G94/D94*100%</f>
        <v>0</v>
      </c>
      <c r="I94" s="83"/>
    </row>
    <row r="95" spans="1:9" ht="15" customHeight="1" x14ac:dyDescent="0.3">
      <c r="A95" s="1303"/>
      <c r="B95" s="1309"/>
      <c r="C95" s="146" t="s">
        <v>240</v>
      </c>
      <c r="D95" s="44">
        <v>19300000</v>
      </c>
      <c r="E95" s="44">
        <v>2116760</v>
      </c>
      <c r="F95" s="44">
        <v>19300000</v>
      </c>
      <c r="G95" s="884">
        <f t="shared" si="31"/>
        <v>0</v>
      </c>
      <c r="H95" s="130">
        <f>G95/D95*100%</f>
        <v>0</v>
      </c>
      <c r="I95" s="83"/>
    </row>
    <row r="96" spans="1:9" ht="15" customHeight="1" x14ac:dyDescent="0.3">
      <c r="A96" s="1303"/>
      <c r="B96" s="1309"/>
      <c r="C96" s="146" t="s">
        <v>241</v>
      </c>
      <c r="D96" s="44">
        <v>3000000</v>
      </c>
      <c r="E96" s="44">
        <v>179550</v>
      </c>
      <c r="F96" s="44">
        <v>3000000</v>
      </c>
      <c r="G96" s="884">
        <f t="shared" si="31"/>
        <v>0</v>
      </c>
      <c r="H96" s="130">
        <f>G96/D96*100%</f>
        <v>0</v>
      </c>
      <c r="I96" s="83"/>
    </row>
    <row r="97" spans="1:9" ht="15" customHeight="1" x14ac:dyDescent="0.3">
      <c r="A97" s="1303"/>
      <c r="B97" s="1309"/>
      <c r="C97" s="146" t="s">
        <v>242</v>
      </c>
      <c r="D97" s="44">
        <v>57720000</v>
      </c>
      <c r="E97" s="44">
        <f>743600+1118660</f>
        <v>1862260</v>
      </c>
      <c r="F97" s="44">
        <v>57720000</v>
      </c>
      <c r="G97" s="884">
        <f t="shared" si="31"/>
        <v>0</v>
      </c>
      <c r="H97" s="130">
        <f>G97/D97*100%</f>
        <v>0</v>
      </c>
      <c r="I97" s="83"/>
    </row>
    <row r="98" spans="1:9" ht="15" customHeight="1" x14ac:dyDescent="0.3">
      <c r="A98" s="1303"/>
      <c r="B98" s="1309"/>
      <c r="C98" s="146" t="s">
        <v>243</v>
      </c>
      <c r="D98" s="44">
        <v>6000000</v>
      </c>
      <c r="E98" s="44">
        <v>1150500</v>
      </c>
      <c r="F98" s="44">
        <v>6000000</v>
      </c>
      <c r="G98" s="884">
        <f t="shared" si="31"/>
        <v>0</v>
      </c>
      <c r="H98" s="130">
        <f t="shared" ref="H98:H99" si="32">G98/D98*100%</f>
        <v>0</v>
      </c>
      <c r="I98" s="83"/>
    </row>
    <row r="99" spans="1:9" ht="15" customHeight="1" x14ac:dyDescent="0.3">
      <c r="A99" s="1303"/>
      <c r="B99" s="1309"/>
      <c r="C99" s="146" t="s">
        <v>244</v>
      </c>
      <c r="D99" s="44">
        <v>478864000</v>
      </c>
      <c r="E99" s="44">
        <v>386564805</v>
      </c>
      <c r="F99" s="44">
        <v>478864000</v>
      </c>
      <c r="G99" s="884">
        <f t="shared" si="31"/>
        <v>0</v>
      </c>
      <c r="H99" s="130">
        <f t="shared" si="32"/>
        <v>0</v>
      </c>
      <c r="I99" s="83"/>
    </row>
    <row r="100" spans="1:9" ht="15" customHeight="1" x14ac:dyDescent="0.3">
      <c r="A100" s="1303"/>
      <c r="B100" s="1309"/>
      <c r="C100" s="146" t="s">
        <v>245</v>
      </c>
      <c r="D100" s="44">
        <v>26500000</v>
      </c>
      <c r="E100" s="44">
        <f>2034300+1351350</f>
        <v>3385650</v>
      </c>
      <c r="F100" s="44">
        <v>26500000</v>
      </c>
      <c r="G100" s="884">
        <f t="shared" si="31"/>
        <v>0</v>
      </c>
      <c r="H100" s="130">
        <f>G100/D100*100%</f>
        <v>0</v>
      </c>
      <c r="I100" s="83"/>
    </row>
    <row r="101" spans="1:9" ht="15" customHeight="1" x14ac:dyDescent="0.3">
      <c r="A101" s="1303"/>
      <c r="B101" s="1309"/>
      <c r="C101" s="146" t="s">
        <v>232</v>
      </c>
      <c r="D101" s="44"/>
      <c r="E101" s="44"/>
      <c r="F101" s="44"/>
      <c r="G101" s="884"/>
      <c r="H101" s="130"/>
      <c r="I101" s="83"/>
    </row>
    <row r="102" spans="1:9" ht="15" customHeight="1" x14ac:dyDescent="0.3">
      <c r="A102" s="1303"/>
      <c r="B102" s="1309"/>
      <c r="C102" s="146" t="s">
        <v>233</v>
      </c>
      <c r="D102" s="44"/>
      <c r="E102" s="44"/>
      <c r="F102" s="44"/>
      <c r="G102" s="884"/>
      <c r="H102" s="130"/>
      <c r="I102" s="83"/>
    </row>
    <row r="103" spans="1:9" ht="15" customHeight="1" x14ac:dyDescent="0.3">
      <c r="A103" s="1303"/>
      <c r="B103" s="1309"/>
      <c r="C103" s="146" t="s">
        <v>234</v>
      </c>
      <c r="D103" s="44"/>
      <c r="E103" s="44"/>
      <c r="F103" s="44"/>
      <c r="G103" s="884"/>
      <c r="H103" s="130"/>
      <c r="I103" s="83"/>
    </row>
    <row r="104" spans="1:9" ht="15" customHeight="1" x14ac:dyDescent="0.3">
      <c r="A104" s="1303"/>
      <c r="B104" s="1309"/>
      <c r="C104" s="146" t="s">
        <v>235</v>
      </c>
      <c r="D104" s="44"/>
      <c r="E104" s="44"/>
      <c r="F104" s="44"/>
      <c r="G104" s="884"/>
      <c r="H104" s="130"/>
      <c r="I104" s="83"/>
    </row>
    <row r="105" spans="1:9" ht="17.25" thickBot="1" x14ac:dyDescent="0.35">
      <c r="A105" s="1303"/>
      <c r="B105" s="1288"/>
      <c r="C105" s="1081" t="s">
        <v>484</v>
      </c>
      <c r="D105" s="519">
        <f>SUM(D83:D104)</f>
        <v>668004000</v>
      </c>
      <c r="E105" s="519">
        <f>SUM(E83:E104)</f>
        <v>444930646</v>
      </c>
      <c r="F105" s="887">
        <f>SUM(F83:F104)</f>
        <v>668004000</v>
      </c>
      <c r="G105" s="933">
        <f t="shared" si="31"/>
        <v>0</v>
      </c>
      <c r="H105" s="540">
        <f>G105/D105*100%</f>
        <v>0</v>
      </c>
      <c r="I105" s="299"/>
    </row>
    <row r="106" spans="1:9" ht="17.25" thickBot="1" x14ac:dyDescent="0.35">
      <c r="A106" s="1304"/>
      <c r="B106" s="1374" t="s">
        <v>465</v>
      </c>
      <c r="C106" s="1311"/>
      <c r="D106" s="629">
        <f>SUM(D82,D105)</f>
        <v>757816500</v>
      </c>
      <c r="E106" s="629">
        <f>SUM(E82,E105)</f>
        <v>499083146</v>
      </c>
      <c r="F106" s="629">
        <f>SUM(F82,F105)</f>
        <v>757816500</v>
      </c>
      <c r="G106" s="1100">
        <f t="shared" si="31"/>
        <v>0</v>
      </c>
      <c r="H106" s="540">
        <f>G106/D106*100%</f>
        <v>0</v>
      </c>
      <c r="I106" s="573"/>
    </row>
    <row r="107" spans="1:9" x14ac:dyDescent="0.3">
      <c r="A107" s="1303" t="s">
        <v>5</v>
      </c>
      <c r="B107" s="360" t="s">
        <v>274</v>
      </c>
      <c r="C107" s="219" t="s">
        <v>8</v>
      </c>
      <c r="D107" s="77">
        <v>5000000</v>
      </c>
      <c r="E107" s="885">
        <f>46170</f>
        <v>46170</v>
      </c>
      <c r="F107" s="77">
        <v>5000000</v>
      </c>
      <c r="G107" s="36">
        <f>F107-D107</f>
        <v>0</v>
      </c>
      <c r="H107" s="130">
        <f>G107/D107*100%</f>
        <v>0</v>
      </c>
      <c r="I107" s="37"/>
    </row>
    <row r="108" spans="1:9" ht="17.25" thickBot="1" x14ac:dyDescent="0.35">
      <c r="A108" s="1304"/>
      <c r="B108" s="1312" t="s">
        <v>466</v>
      </c>
      <c r="C108" s="1313"/>
      <c r="D108" s="569">
        <f>D107</f>
        <v>5000000</v>
      </c>
      <c r="E108" s="569">
        <f t="shared" ref="E108" si="33">E107</f>
        <v>46170</v>
      </c>
      <c r="F108" s="888">
        <f>F107</f>
        <v>5000000</v>
      </c>
      <c r="G108" s="601">
        <f>F108-D108</f>
        <v>0</v>
      </c>
      <c r="H108" s="577">
        <f>G108/D108*100%</f>
        <v>0</v>
      </c>
      <c r="I108" s="42"/>
    </row>
    <row r="109" spans="1:9" x14ac:dyDescent="0.3">
      <c r="A109" s="1286" t="s">
        <v>302</v>
      </c>
      <c r="B109" s="1288" t="s">
        <v>269</v>
      </c>
      <c r="C109" s="151" t="s">
        <v>65</v>
      </c>
      <c r="D109" s="68">
        <v>5608039</v>
      </c>
      <c r="E109" s="71"/>
      <c r="F109" s="68">
        <v>5608039</v>
      </c>
      <c r="G109" s="36">
        <f>F109-D109</f>
        <v>0</v>
      </c>
      <c r="H109" s="130">
        <f>G109/D109*100%</f>
        <v>0</v>
      </c>
      <c r="I109" s="39"/>
    </row>
    <row r="110" spans="1:9" x14ac:dyDescent="0.3">
      <c r="A110" s="1286"/>
      <c r="B110" s="1289"/>
      <c r="C110" s="146" t="s">
        <v>38</v>
      </c>
      <c r="D110" s="212"/>
      <c r="E110" s="44"/>
      <c r="F110" s="212"/>
      <c r="G110" s="35"/>
      <c r="H110" s="130"/>
      <c r="I110" s="37"/>
    </row>
    <row r="111" spans="1:9" ht="17.25" thickBot="1" x14ac:dyDescent="0.35">
      <c r="A111" s="1461"/>
      <c r="B111" s="1321" t="s">
        <v>466</v>
      </c>
      <c r="C111" s="1322"/>
      <c r="D111" s="576">
        <f>SUM(D109:D110)</f>
        <v>5608039</v>
      </c>
      <c r="E111" s="576">
        <f t="shared" ref="E111" si="34">SUM(E109:E110)</f>
        <v>0</v>
      </c>
      <c r="F111" s="889">
        <f>SUM(F109:F110)</f>
        <v>5608039</v>
      </c>
      <c r="G111" s="631">
        <f>F111-D111</f>
        <v>0</v>
      </c>
      <c r="H111" s="654">
        <f>G111/D111*100%</f>
        <v>0</v>
      </c>
      <c r="I111" s="42"/>
    </row>
    <row r="112" spans="1:9" ht="19.5" customHeight="1" x14ac:dyDescent="0.3">
      <c r="A112" s="1316" t="s">
        <v>176</v>
      </c>
      <c r="B112" s="1319" t="s">
        <v>377</v>
      </c>
      <c r="C112" s="149" t="s">
        <v>178</v>
      </c>
      <c r="D112" s="68">
        <v>12000000</v>
      </c>
      <c r="E112" s="71">
        <v>11000000</v>
      </c>
      <c r="F112" s="68">
        <v>12000000</v>
      </c>
      <c r="G112" s="543">
        <f>F112-D112</f>
        <v>0</v>
      </c>
      <c r="H112" s="698">
        <f t="shared" ref="H112:H119" si="35">IF(ISERR(G112/D112),0,G112/D112)</f>
        <v>0</v>
      </c>
      <c r="I112" s="692"/>
    </row>
    <row r="113" spans="1:9" x14ac:dyDescent="0.3">
      <c r="A113" s="1317"/>
      <c r="B113" s="1320"/>
      <c r="C113" s="624" t="s">
        <v>381</v>
      </c>
      <c r="D113" s="77">
        <v>12000000</v>
      </c>
      <c r="E113" s="44">
        <v>11000000</v>
      </c>
      <c r="F113" s="212">
        <v>12000000</v>
      </c>
      <c r="G113" s="884">
        <f t="shared" ref="G113:G114" si="36">F113-D113</f>
        <v>0</v>
      </c>
      <c r="H113" s="1101">
        <f t="shared" si="35"/>
        <v>0</v>
      </c>
      <c r="I113" s="693"/>
    </row>
    <row r="114" spans="1:9" ht="17.25" thickBot="1" x14ac:dyDescent="0.35">
      <c r="A114" s="1318"/>
      <c r="B114" s="1321" t="s">
        <v>466</v>
      </c>
      <c r="C114" s="1322"/>
      <c r="D114" s="889">
        <f>SUM(D112:D113)</f>
        <v>24000000</v>
      </c>
      <c r="E114" s="889">
        <f t="shared" ref="E114" si="37">SUM(E112:E113)</f>
        <v>22000000</v>
      </c>
      <c r="F114" s="889">
        <f>SUM(F112:F113)</f>
        <v>24000000</v>
      </c>
      <c r="G114" s="611">
        <f t="shared" si="36"/>
        <v>0</v>
      </c>
      <c r="H114" s="705">
        <f t="shared" si="35"/>
        <v>0</v>
      </c>
      <c r="I114" s="42"/>
    </row>
    <row r="115" spans="1:9" x14ac:dyDescent="0.3">
      <c r="A115" s="1317" t="s">
        <v>382</v>
      </c>
      <c r="B115" s="1529" t="s">
        <v>373</v>
      </c>
      <c r="C115" s="623" t="s">
        <v>365</v>
      </c>
      <c r="D115" s="68">
        <v>116191998</v>
      </c>
      <c r="E115" s="71"/>
      <c r="F115" s="1102">
        <v>116191998</v>
      </c>
      <c r="G115" s="885">
        <f>F115-D115</f>
        <v>0</v>
      </c>
      <c r="H115" s="1103">
        <f t="shared" si="35"/>
        <v>0</v>
      </c>
      <c r="I115" s="76"/>
    </row>
    <row r="116" spans="1:9" x14ac:dyDescent="0.3">
      <c r="A116" s="1317"/>
      <c r="B116" s="1320"/>
      <c r="C116" s="624" t="s">
        <v>383</v>
      </c>
      <c r="D116" s="77">
        <v>123200605</v>
      </c>
      <c r="E116" s="44"/>
      <c r="F116" s="212">
        <v>123200605</v>
      </c>
      <c r="G116" s="884">
        <f>F116-D116</f>
        <v>0</v>
      </c>
      <c r="H116" s="1104">
        <f t="shared" si="35"/>
        <v>0</v>
      </c>
      <c r="I116" s="693"/>
    </row>
    <row r="117" spans="1:9" ht="17.25" thickBot="1" x14ac:dyDescent="0.35">
      <c r="A117" s="1318"/>
      <c r="B117" s="1321" t="s">
        <v>466</v>
      </c>
      <c r="C117" s="1322"/>
      <c r="D117" s="889">
        <f>SUM(D115:D116)</f>
        <v>239392603</v>
      </c>
      <c r="E117" s="889">
        <f t="shared" ref="E117" si="38">SUM(E115:E116)</f>
        <v>0</v>
      </c>
      <c r="F117" s="889">
        <f>SUM(F115:F116)</f>
        <v>239392603</v>
      </c>
      <c r="G117" s="73">
        <f>F117-D117</f>
        <v>0</v>
      </c>
      <c r="H117" s="1105">
        <f t="shared" si="35"/>
        <v>0</v>
      </c>
      <c r="I117" s="42"/>
    </row>
    <row r="118" spans="1:9" ht="17.25" thickBot="1" x14ac:dyDescent="0.35">
      <c r="A118" s="152" t="s">
        <v>43</v>
      </c>
      <c r="B118" s="153" t="s">
        <v>43</v>
      </c>
      <c r="C118" s="220" t="s">
        <v>68</v>
      </c>
      <c r="D118" s="213"/>
      <c r="E118" s="224">
        <f>253025987+627610595</f>
        <v>880636582</v>
      </c>
      <c r="F118" s="1086"/>
      <c r="G118" s="1095">
        <f>F118-D118</f>
        <v>0</v>
      </c>
      <c r="H118" s="707">
        <f t="shared" si="35"/>
        <v>0</v>
      </c>
      <c r="I118" s="138"/>
    </row>
    <row r="119" spans="1:9" ht="17.25" thickBot="1" x14ac:dyDescent="0.35">
      <c r="A119" s="1391" t="s">
        <v>41</v>
      </c>
      <c r="B119" s="1392"/>
      <c r="C119" s="1393"/>
      <c r="D119" s="302">
        <f>SUM(D72,D76,D106,D108,D111,D118,D117,D114)</f>
        <v>2907526012</v>
      </c>
      <c r="E119" s="302">
        <f t="shared" ref="E119:F119" si="39">SUM(E72,E76,E106,E108,E111,E118,E117,E114)</f>
        <v>2606058323</v>
      </c>
      <c r="F119" s="302">
        <f t="shared" si="39"/>
        <v>2907526012</v>
      </c>
      <c r="G119" s="302">
        <f>F119-D119</f>
        <v>0</v>
      </c>
      <c r="H119" s="523">
        <f t="shared" si="35"/>
        <v>0</v>
      </c>
      <c r="I119" s="78"/>
    </row>
  </sheetData>
  <mergeCells count="70">
    <mergeCell ref="F6:F7"/>
    <mergeCell ref="F51:F52"/>
    <mergeCell ref="A115:A117"/>
    <mergeCell ref="B115:B116"/>
    <mergeCell ref="B117:C117"/>
    <mergeCell ref="A77:A106"/>
    <mergeCell ref="B77:B82"/>
    <mergeCell ref="B83:B105"/>
    <mergeCell ref="B106:C106"/>
    <mergeCell ref="A107:A108"/>
    <mergeCell ref="B108:C108"/>
    <mergeCell ref="B53:B59"/>
    <mergeCell ref="B60:B63"/>
    <mergeCell ref="B64:B71"/>
    <mergeCell ref="B72:C72"/>
    <mergeCell ref="A73:A76"/>
    <mergeCell ref="A119:C119"/>
    <mergeCell ref="A109:A111"/>
    <mergeCell ref="B109:B110"/>
    <mergeCell ref="B111:C111"/>
    <mergeCell ref="A112:A114"/>
    <mergeCell ref="B112:B113"/>
    <mergeCell ref="B114:C114"/>
    <mergeCell ref="B73:B75"/>
    <mergeCell ref="B76:C76"/>
    <mergeCell ref="A49:C49"/>
    <mergeCell ref="A50:I50"/>
    <mergeCell ref="A51:C51"/>
    <mergeCell ref="D51:D52"/>
    <mergeCell ref="E51:E52"/>
    <mergeCell ref="G51:G52"/>
    <mergeCell ref="H51:H52"/>
    <mergeCell ref="I51:I52"/>
    <mergeCell ref="A41:A45"/>
    <mergeCell ref="B41:B44"/>
    <mergeCell ref="B45:C45"/>
    <mergeCell ref="A46:A48"/>
    <mergeCell ref="B46:B47"/>
    <mergeCell ref="B48:C48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1:I1"/>
    <mergeCell ref="B33:C33"/>
    <mergeCell ref="A2:I2"/>
    <mergeCell ref="A3:I4"/>
    <mergeCell ref="A5:I5"/>
    <mergeCell ref="A6:C6"/>
    <mergeCell ref="D6:D7"/>
    <mergeCell ref="E6:E7"/>
    <mergeCell ref="G6:G7"/>
    <mergeCell ref="H6:H7"/>
    <mergeCell ref="I6:I7"/>
    <mergeCell ref="A8:A13"/>
    <mergeCell ref="B8:B12"/>
    <mergeCell ref="B13:C13"/>
    <mergeCell ref="A14:A22"/>
    <mergeCell ref="B14:B21"/>
  </mergeCells>
  <phoneticPr fontId="2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1:I119"/>
  <sheetViews>
    <sheetView topLeftCell="A103" workbookViewId="0">
      <selection activeCell="G122" sqref="G122"/>
    </sheetView>
  </sheetViews>
  <sheetFormatPr defaultRowHeight="16.5" x14ac:dyDescent="0.3"/>
  <cols>
    <col min="1" max="1" width="18.25" customWidth="1"/>
    <col min="2" max="2" width="13.875" customWidth="1"/>
    <col min="3" max="3" width="20.25" customWidth="1"/>
    <col min="4" max="4" width="16.25" customWidth="1"/>
    <col min="5" max="5" width="17.125" customWidth="1"/>
    <col min="6" max="6" width="17.75" customWidth="1"/>
    <col min="7" max="7" width="16" customWidth="1"/>
    <col min="9" max="9" width="34.75" customWidth="1"/>
  </cols>
  <sheetData>
    <row r="1" spans="1:9" x14ac:dyDescent="0.3">
      <c r="A1" s="1530"/>
      <c r="B1" s="1531"/>
      <c r="C1" s="1531"/>
      <c r="D1" s="1531"/>
      <c r="E1" s="1531"/>
      <c r="F1" s="1531"/>
      <c r="G1" s="1531"/>
      <c r="H1" s="1531"/>
      <c r="I1" s="1532"/>
    </row>
    <row r="2" spans="1:9" ht="29.45" customHeight="1" x14ac:dyDescent="0.3">
      <c r="A2" s="1533" t="s">
        <v>485</v>
      </c>
      <c r="B2" s="1465"/>
      <c r="C2" s="1465"/>
      <c r="D2" s="1465"/>
      <c r="E2" s="1465"/>
      <c r="F2" s="1465"/>
      <c r="G2" s="1465"/>
      <c r="H2" s="1465"/>
      <c r="I2" s="1534"/>
    </row>
    <row r="3" spans="1:9" x14ac:dyDescent="0.3">
      <c r="A3" s="1535"/>
      <c r="B3" s="1435"/>
      <c r="C3" s="1435"/>
      <c r="D3" s="1435"/>
      <c r="E3" s="1435"/>
      <c r="F3" s="1435"/>
      <c r="G3" s="1435"/>
      <c r="H3" s="1435"/>
      <c r="I3" s="1536"/>
    </row>
    <row r="4" spans="1:9" x14ac:dyDescent="0.3">
      <c r="A4" s="1535"/>
      <c r="B4" s="1435"/>
      <c r="C4" s="1435"/>
      <c r="D4" s="1435"/>
      <c r="E4" s="1435"/>
      <c r="F4" s="1435"/>
      <c r="G4" s="1435"/>
      <c r="H4" s="1435"/>
      <c r="I4" s="1536"/>
    </row>
    <row r="5" spans="1:9" ht="17.25" thickBot="1" x14ac:dyDescent="0.35">
      <c r="A5" s="1537" t="s">
        <v>663</v>
      </c>
      <c r="B5" s="1466"/>
      <c r="C5" s="1466"/>
      <c r="D5" s="1466"/>
      <c r="E5" s="1466"/>
      <c r="F5" s="1466"/>
      <c r="G5" s="1466"/>
      <c r="H5" s="1466"/>
      <c r="I5" s="1538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394</v>
      </c>
      <c r="F6" s="1273" t="s">
        <v>310</v>
      </c>
      <c r="G6" s="1273" t="s">
        <v>59</v>
      </c>
      <c r="H6" s="152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526"/>
      <c r="I7" s="1278"/>
    </row>
    <row r="8" spans="1:9" ht="17.25" customHeight="1" x14ac:dyDescent="0.3">
      <c r="A8" s="1364" t="s">
        <v>165</v>
      </c>
      <c r="B8" s="1309" t="s">
        <v>166</v>
      </c>
      <c r="C8" s="319" t="s">
        <v>147</v>
      </c>
      <c r="D8" s="236"/>
      <c r="E8" s="236"/>
      <c r="F8" s="236"/>
      <c r="G8" s="243"/>
      <c r="H8" s="502"/>
      <c r="I8" s="293"/>
    </row>
    <row r="9" spans="1:9" ht="17.25" customHeight="1" x14ac:dyDescent="0.3">
      <c r="A9" s="1364"/>
      <c r="B9" s="1309"/>
      <c r="C9" s="320" t="s">
        <v>150</v>
      </c>
      <c r="D9" s="676">
        <v>136347840</v>
      </c>
      <c r="E9" s="676">
        <v>99947600</v>
      </c>
      <c r="F9" s="676">
        <v>136347840</v>
      </c>
      <c r="G9" s="1088">
        <f>F9-D9</f>
        <v>0</v>
      </c>
      <c r="H9" s="502">
        <f>G9/D9*100%</f>
        <v>0</v>
      </c>
      <c r="I9" s="294"/>
    </row>
    <row r="10" spans="1:9" ht="17.25" customHeight="1" x14ac:dyDescent="0.3">
      <c r="A10" s="1364"/>
      <c r="B10" s="1309"/>
      <c r="C10" s="320" t="s">
        <v>151</v>
      </c>
      <c r="D10" s="676">
        <v>130500000</v>
      </c>
      <c r="E10" s="676">
        <v>110620488</v>
      </c>
      <c r="F10" s="676">
        <v>130500000</v>
      </c>
      <c r="G10" s="1088">
        <f t="shared" ref="G10:G13" si="0">F10-D10</f>
        <v>0</v>
      </c>
      <c r="H10" s="502">
        <f>G10/D10*100%</f>
        <v>0</v>
      </c>
      <c r="I10" s="294"/>
    </row>
    <row r="11" spans="1:9" ht="17.25" customHeight="1" x14ac:dyDescent="0.3">
      <c r="A11" s="1364"/>
      <c r="B11" s="1309"/>
      <c r="C11" s="320" t="s">
        <v>152</v>
      </c>
      <c r="D11" s="676">
        <v>34800000</v>
      </c>
      <c r="E11" s="676">
        <v>31028680</v>
      </c>
      <c r="F11" s="676">
        <v>34800000</v>
      </c>
      <c r="G11" s="1088">
        <f t="shared" si="0"/>
        <v>0</v>
      </c>
      <c r="H11" s="502">
        <f>G11/D11*100%</f>
        <v>0</v>
      </c>
      <c r="I11" s="294"/>
    </row>
    <row r="12" spans="1:9" ht="17.25" customHeight="1" x14ac:dyDescent="0.3">
      <c r="A12" s="1364"/>
      <c r="B12" s="1288"/>
      <c r="C12" s="320" t="s">
        <v>153</v>
      </c>
      <c r="D12" s="676">
        <v>2200000</v>
      </c>
      <c r="E12" s="676">
        <v>4669870</v>
      </c>
      <c r="F12" s="676">
        <v>2200000</v>
      </c>
      <c r="G12" s="1088">
        <f t="shared" si="0"/>
        <v>0</v>
      </c>
      <c r="H12" s="502">
        <f>G12/D12*100%</f>
        <v>0</v>
      </c>
      <c r="I12" s="294"/>
    </row>
    <row r="13" spans="1:9" ht="18" thickBot="1" x14ac:dyDescent="0.35">
      <c r="A13" s="1365"/>
      <c r="B13" s="1374" t="s">
        <v>465</v>
      </c>
      <c r="C13" s="1374"/>
      <c r="D13" s="232">
        <f>SUM(D8:D12)</f>
        <v>303847840</v>
      </c>
      <c r="E13" s="232">
        <f t="shared" ref="E13" si="1">SUM(E8:E12)</f>
        <v>246266638</v>
      </c>
      <c r="F13" s="232">
        <f>SUM(F8:F12)</f>
        <v>303847840</v>
      </c>
      <c r="G13" s="1113">
        <f t="shared" si="0"/>
        <v>0</v>
      </c>
      <c r="H13" s="531">
        <f>G13/D13*100%</f>
        <v>0</v>
      </c>
      <c r="I13" s="295"/>
    </row>
    <row r="14" spans="1:9" ht="19.5" customHeight="1" x14ac:dyDescent="0.3">
      <c r="A14" s="1401" t="s">
        <v>3</v>
      </c>
      <c r="B14" s="1309" t="s">
        <v>3</v>
      </c>
      <c r="C14" s="319" t="s">
        <v>142</v>
      </c>
      <c r="D14" s="236"/>
      <c r="E14" s="236"/>
      <c r="F14" s="236"/>
      <c r="G14" s="243"/>
      <c r="H14" s="502"/>
      <c r="I14" s="296"/>
    </row>
    <row r="15" spans="1:9" ht="19.5" customHeight="1" x14ac:dyDescent="0.3">
      <c r="A15" s="1401"/>
      <c r="B15" s="1309"/>
      <c r="C15" s="320" t="s">
        <v>143</v>
      </c>
      <c r="D15" s="231"/>
      <c r="E15" s="231"/>
      <c r="F15" s="236"/>
      <c r="G15" s="243"/>
      <c r="H15" s="502"/>
      <c r="I15" s="297"/>
    </row>
    <row r="16" spans="1:9" ht="19.5" customHeight="1" x14ac:dyDescent="0.3">
      <c r="A16" s="1401"/>
      <c r="B16" s="1309"/>
      <c r="C16" s="320" t="s">
        <v>144</v>
      </c>
      <c r="D16" s="231"/>
      <c r="E16" s="231"/>
      <c r="F16" s="236"/>
      <c r="G16" s="243"/>
      <c r="H16" s="502"/>
      <c r="I16" s="297"/>
    </row>
    <row r="17" spans="1:9" ht="19.5" customHeight="1" x14ac:dyDescent="0.3">
      <c r="A17" s="1401"/>
      <c r="B17" s="1309"/>
      <c r="C17" s="320" t="s">
        <v>145</v>
      </c>
      <c r="D17" s="231"/>
      <c r="E17" s="231"/>
      <c r="F17" s="236"/>
      <c r="G17" s="243"/>
      <c r="H17" s="502"/>
      <c r="I17" s="297"/>
    </row>
    <row r="18" spans="1:9" ht="19.5" customHeight="1" x14ac:dyDescent="0.3">
      <c r="A18" s="1401"/>
      <c r="B18" s="1309"/>
      <c r="C18" s="319" t="s">
        <v>146</v>
      </c>
      <c r="D18" s="231"/>
      <c r="E18" s="231"/>
      <c r="F18" s="236"/>
      <c r="G18" s="243"/>
      <c r="H18" s="502"/>
      <c r="I18" s="294"/>
    </row>
    <row r="19" spans="1:9" ht="19.5" customHeight="1" x14ac:dyDescent="0.3">
      <c r="A19" s="1401"/>
      <c r="B19" s="1309"/>
      <c r="C19" s="146" t="s">
        <v>148</v>
      </c>
      <c r="D19" s="231"/>
      <c r="E19" s="231"/>
      <c r="F19" s="236"/>
      <c r="G19" s="243"/>
      <c r="H19" s="502"/>
      <c r="I19" s="294"/>
    </row>
    <row r="20" spans="1:9" ht="19.5" customHeight="1" x14ac:dyDescent="0.3">
      <c r="A20" s="1401"/>
      <c r="B20" s="1309"/>
      <c r="C20" s="146" t="s">
        <v>149</v>
      </c>
      <c r="D20" s="231"/>
      <c r="E20" s="231"/>
      <c r="F20" s="236"/>
      <c r="G20" s="243"/>
      <c r="H20" s="502"/>
      <c r="I20" s="294"/>
    </row>
    <row r="21" spans="1:9" ht="19.5" customHeight="1" x14ac:dyDescent="0.3">
      <c r="A21" s="1401"/>
      <c r="B21" s="1288"/>
      <c r="C21" s="146" t="s">
        <v>167</v>
      </c>
      <c r="D21" s="65"/>
      <c r="E21" s="65"/>
      <c r="F21" s="65"/>
      <c r="G21" s="243"/>
      <c r="H21" s="502"/>
      <c r="I21" s="37"/>
    </row>
    <row r="22" spans="1:9" ht="18" thickBot="1" x14ac:dyDescent="0.35">
      <c r="A22" s="1460"/>
      <c r="B22" s="1403" t="s">
        <v>465</v>
      </c>
      <c r="C22" s="1404"/>
      <c r="D22" s="40"/>
      <c r="E22" s="40"/>
      <c r="F22" s="40"/>
      <c r="G22" s="1042"/>
      <c r="H22" s="709"/>
      <c r="I22" s="41"/>
    </row>
    <row r="23" spans="1:9" ht="19.5" customHeight="1" x14ac:dyDescent="0.3">
      <c r="A23" s="1371" t="s">
        <v>159</v>
      </c>
      <c r="B23" s="1308" t="s">
        <v>159</v>
      </c>
      <c r="C23" s="147" t="s">
        <v>113</v>
      </c>
      <c r="D23" s="70"/>
      <c r="E23" s="70"/>
      <c r="F23" s="221"/>
      <c r="G23" s="243"/>
      <c r="H23" s="502"/>
      <c r="I23" s="79"/>
    </row>
    <row r="24" spans="1:9" ht="19.5" customHeight="1" x14ac:dyDescent="0.3">
      <c r="A24" s="1372"/>
      <c r="B24" s="1309"/>
      <c r="C24" s="320" t="s">
        <v>63</v>
      </c>
      <c r="D24" s="44"/>
      <c r="E24" s="44"/>
      <c r="F24" s="221"/>
      <c r="G24" s="243"/>
      <c r="H24" s="502"/>
      <c r="I24" s="80"/>
    </row>
    <row r="25" spans="1:9" ht="19.5" customHeight="1" x14ac:dyDescent="0.3">
      <c r="A25" s="1372"/>
      <c r="B25" s="1309"/>
      <c r="C25" s="320" t="s">
        <v>30</v>
      </c>
      <c r="D25" s="884">
        <v>9037480</v>
      </c>
      <c r="E25" s="44">
        <v>5450650</v>
      </c>
      <c r="F25" s="884">
        <v>9037480</v>
      </c>
      <c r="G25" s="1088">
        <f>F25-D25</f>
        <v>0</v>
      </c>
      <c r="H25" s="502">
        <f>G25/D25*100%</f>
        <v>0</v>
      </c>
      <c r="I25" s="80"/>
    </row>
    <row r="26" spans="1:9" ht="19.5" customHeight="1" x14ac:dyDescent="0.3">
      <c r="A26" s="1372"/>
      <c r="B26" s="1288"/>
      <c r="C26" s="320" t="s">
        <v>64</v>
      </c>
      <c r="D26" s="44"/>
      <c r="E26" s="44"/>
      <c r="F26" s="44"/>
      <c r="G26" s="962"/>
      <c r="H26" s="502"/>
      <c r="I26" s="80"/>
    </row>
    <row r="27" spans="1:9" ht="17.25" thickBot="1" x14ac:dyDescent="0.35">
      <c r="A27" s="1373"/>
      <c r="B27" s="1368" t="s">
        <v>476</v>
      </c>
      <c r="C27" s="1394"/>
      <c r="D27" s="887">
        <f>SUM(D23:D26)</f>
        <v>9037480</v>
      </c>
      <c r="E27" s="887">
        <f t="shared" ref="E27" si="2">SUM(E23:E26)</f>
        <v>5450650</v>
      </c>
      <c r="F27" s="887">
        <f>SUM(F23:F26)</f>
        <v>9037480</v>
      </c>
      <c r="G27" s="1114">
        <f>F27-D27</f>
        <v>0</v>
      </c>
      <c r="H27" s="710">
        <f>G27/D27*100%</f>
        <v>0</v>
      </c>
      <c r="I27" s="81"/>
    </row>
    <row r="28" spans="1:9" ht="17.25" customHeight="1" x14ac:dyDescent="0.3">
      <c r="A28" s="1325" t="s">
        <v>161</v>
      </c>
      <c r="B28" s="1288" t="s">
        <v>161</v>
      </c>
      <c r="C28" s="151" t="s">
        <v>6</v>
      </c>
      <c r="D28" s="870">
        <v>3000000</v>
      </c>
      <c r="E28" s="885">
        <v>200000</v>
      </c>
      <c r="F28" s="870">
        <v>3000000</v>
      </c>
      <c r="G28" s="1088">
        <f>F28-D28</f>
        <v>0</v>
      </c>
      <c r="H28" s="502">
        <f>G28/D28*100%</f>
        <v>0</v>
      </c>
      <c r="I28" s="644"/>
    </row>
    <row r="29" spans="1:9" ht="17.25" customHeight="1" x14ac:dyDescent="0.3">
      <c r="A29" s="1326"/>
      <c r="B29" s="1289"/>
      <c r="C29" s="151" t="s">
        <v>7</v>
      </c>
      <c r="D29" s="65"/>
      <c r="E29" s="65"/>
      <c r="F29" s="65"/>
      <c r="G29" s="962"/>
      <c r="H29" s="502"/>
      <c r="I29" s="37"/>
    </row>
    <row r="30" spans="1:9" ht="17.25" thickBot="1" x14ac:dyDescent="0.35">
      <c r="A30" s="1327"/>
      <c r="B30" s="1374" t="s">
        <v>466</v>
      </c>
      <c r="C30" s="1374"/>
      <c r="D30" s="539">
        <f>SUM(D28:D29)</f>
        <v>3000000</v>
      </c>
      <c r="E30" s="539">
        <f t="shared" ref="E30" si="3">SUM(E28:E29)</f>
        <v>200000</v>
      </c>
      <c r="F30" s="539">
        <f>SUM(F28:F29)</f>
        <v>3000000</v>
      </c>
      <c r="G30" s="1115">
        <f>F30-D30</f>
        <v>0</v>
      </c>
      <c r="H30" s="715">
        <f>G30/D30*100%</f>
        <v>0</v>
      </c>
      <c r="I30" s="42"/>
    </row>
    <row r="31" spans="1:9" ht="18" customHeight="1" x14ac:dyDescent="0.3">
      <c r="A31" s="1370" t="s">
        <v>163</v>
      </c>
      <c r="B31" s="1308" t="s">
        <v>163</v>
      </c>
      <c r="C31" s="147" t="s">
        <v>154</v>
      </c>
      <c r="D31" s="885">
        <v>646796160</v>
      </c>
      <c r="E31" s="871">
        <v>606405060</v>
      </c>
      <c r="F31" s="885">
        <v>646796160</v>
      </c>
      <c r="G31" s="1088">
        <f>F31-D31</f>
        <v>0</v>
      </c>
      <c r="H31" s="502">
        <f>G31/D31*100%</f>
        <v>0</v>
      </c>
      <c r="I31" s="79"/>
    </row>
    <row r="32" spans="1:9" ht="18" customHeight="1" x14ac:dyDescent="0.3">
      <c r="A32" s="1364"/>
      <c r="B32" s="1288"/>
      <c r="C32" s="320" t="s">
        <v>155</v>
      </c>
      <c r="D32" s="884">
        <v>168000000</v>
      </c>
      <c r="E32" s="872">
        <v>142989610</v>
      </c>
      <c r="F32" s="884">
        <v>168000000</v>
      </c>
      <c r="G32" s="1088">
        <f t="shared" ref="G32:G33" si="4">F32-D32</f>
        <v>0</v>
      </c>
      <c r="H32" s="502">
        <f>G32/D32*100%</f>
        <v>0</v>
      </c>
      <c r="I32" s="83"/>
    </row>
    <row r="33" spans="1:9" ht="17.25" thickBot="1" x14ac:dyDescent="0.35">
      <c r="A33" s="1365"/>
      <c r="B33" s="1368" t="s">
        <v>476</v>
      </c>
      <c r="C33" s="1369"/>
      <c r="D33" s="887">
        <f>SUM(D31:D32)</f>
        <v>814796160</v>
      </c>
      <c r="E33" s="887">
        <f t="shared" ref="E33" si="5">SUM(E31:E32)</f>
        <v>749394670</v>
      </c>
      <c r="F33" s="887">
        <f>SUM(F31:F32)</f>
        <v>814796160</v>
      </c>
      <c r="G33" s="1069">
        <f t="shared" si="4"/>
        <v>0</v>
      </c>
      <c r="H33" s="531">
        <f>G33/D33*100%</f>
        <v>0</v>
      </c>
      <c r="I33" s="81"/>
    </row>
    <row r="34" spans="1:9" ht="18.75" customHeight="1" x14ac:dyDescent="0.3">
      <c r="A34" s="326"/>
      <c r="B34" s="1309" t="s">
        <v>4</v>
      </c>
      <c r="C34" s="319" t="s">
        <v>183</v>
      </c>
      <c r="D34" s="69"/>
      <c r="E34" s="69"/>
      <c r="F34" s="885"/>
      <c r="G34" s="243"/>
      <c r="H34" s="502"/>
      <c r="I34" s="240"/>
    </row>
    <row r="35" spans="1:9" ht="18.75" customHeight="1" x14ac:dyDescent="0.3">
      <c r="A35" s="620"/>
      <c r="B35" s="1309"/>
      <c r="C35" s="624" t="s">
        <v>184</v>
      </c>
      <c r="D35" s="69"/>
      <c r="E35" s="69"/>
      <c r="F35" s="885"/>
      <c r="G35" s="243"/>
      <c r="H35" s="502"/>
      <c r="I35" s="240"/>
    </row>
    <row r="36" spans="1:9" ht="18.75" customHeight="1" x14ac:dyDescent="0.3">
      <c r="A36" s="1303" t="s">
        <v>4</v>
      </c>
      <c r="B36" s="1288"/>
      <c r="C36" s="146" t="s">
        <v>358</v>
      </c>
      <c r="D36" s="66"/>
      <c r="E36" s="66"/>
      <c r="F36" s="885"/>
      <c r="G36" s="243"/>
      <c r="H36" s="502"/>
      <c r="I36" s="83"/>
    </row>
    <row r="37" spans="1:9" ht="18" thickBot="1" x14ac:dyDescent="0.35">
      <c r="A37" s="1304"/>
      <c r="B37" s="1399" t="s">
        <v>466</v>
      </c>
      <c r="C37" s="1400"/>
      <c r="D37" s="241"/>
      <c r="E37" s="241"/>
      <c r="F37" s="546"/>
      <c r="G37" s="1043"/>
      <c r="H37" s="709"/>
      <c r="I37" s="42"/>
    </row>
    <row r="38" spans="1:9" ht="15.75" customHeight="1" x14ac:dyDescent="0.3">
      <c r="A38" s="1302" t="s">
        <v>170</v>
      </c>
      <c r="B38" s="1308" t="s">
        <v>170</v>
      </c>
      <c r="C38" s="149" t="s">
        <v>9</v>
      </c>
      <c r="D38" s="35">
        <v>562760219</v>
      </c>
      <c r="E38" s="716">
        <v>562760219</v>
      </c>
      <c r="F38" s="35">
        <v>562760219</v>
      </c>
      <c r="G38" s="243">
        <f>F38-D38</f>
        <v>0</v>
      </c>
      <c r="H38" s="502">
        <f>G38/D38*100%</f>
        <v>0</v>
      </c>
      <c r="I38" s="74"/>
    </row>
    <row r="39" spans="1:9" ht="15.75" customHeight="1" x14ac:dyDescent="0.3">
      <c r="A39" s="1303"/>
      <c r="B39" s="1288"/>
      <c r="C39" s="146" t="s">
        <v>174</v>
      </c>
      <c r="D39" s="75"/>
      <c r="E39" s="75"/>
      <c r="F39" s="75"/>
      <c r="G39" s="243"/>
      <c r="H39" s="502"/>
      <c r="I39" s="239"/>
    </row>
    <row r="40" spans="1:9" ht="18" thickBot="1" x14ac:dyDescent="0.35">
      <c r="A40" s="1304"/>
      <c r="B40" s="1542" t="s">
        <v>465</v>
      </c>
      <c r="C40" s="1543"/>
      <c r="D40" s="519">
        <f>SUM(D38:D39)</f>
        <v>562760219</v>
      </c>
      <c r="E40" s="519">
        <f t="shared" ref="E40" si="6">SUM(E38:E39)</f>
        <v>562760219</v>
      </c>
      <c r="F40" s="887">
        <f>SUM(F38:F39)</f>
        <v>562760219</v>
      </c>
      <c r="G40" s="232">
        <f>F40-D40</f>
        <v>0</v>
      </c>
      <c r="H40" s="682">
        <f>G40/D40*100%</f>
        <v>0</v>
      </c>
      <c r="I40" s="299"/>
    </row>
    <row r="41" spans="1:9" ht="15" customHeight="1" x14ac:dyDescent="0.3">
      <c r="A41" s="1456" t="s">
        <v>172</v>
      </c>
      <c r="B41" s="1323" t="s">
        <v>172</v>
      </c>
      <c r="C41" s="617" t="s">
        <v>346</v>
      </c>
      <c r="D41" s="71"/>
      <c r="E41" s="71"/>
      <c r="F41" s="885"/>
      <c r="G41" s="677"/>
      <c r="H41" s="681"/>
      <c r="I41" s="79"/>
    </row>
    <row r="42" spans="1:9" ht="15" customHeight="1" x14ac:dyDescent="0.3">
      <c r="A42" s="1457"/>
      <c r="B42" s="1289"/>
      <c r="C42" s="619" t="s">
        <v>173</v>
      </c>
      <c r="D42" s="44">
        <v>600000</v>
      </c>
      <c r="E42" s="872">
        <v>254278</v>
      </c>
      <c r="F42" s="44">
        <v>600000</v>
      </c>
      <c r="G42" s="1088">
        <f>F42-D42</f>
        <v>0</v>
      </c>
      <c r="H42" s="502">
        <f t="shared" ref="H42:H49" si="7">G42/D42*100%</f>
        <v>0</v>
      </c>
      <c r="I42" s="83"/>
    </row>
    <row r="43" spans="1:9" ht="15" customHeight="1" x14ac:dyDescent="0.3">
      <c r="A43" s="1457"/>
      <c r="B43" s="1289"/>
      <c r="C43" s="619" t="s">
        <v>175</v>
      </c>
      <c r="D43" s="44">
        <v>16800000</v>
      </c>
      <c r="E43" s="872">
        <v>14257500</v>
      </c>
      <c r="F43" s="44">
        <v>16800000</v>
      </c>
      <c r="G43" s="1088">
        <f t="shared" ref="G43:G45" si="8">F43-D43</f>
        <v>0</v>
      </c>
      <c r="H43" s="502">
        <f t="shared" si="7"/>
        <v>0</v>
      </c>
      <c r="I43" s="83"/>
    </row>
    <row r="44" spans="1:9" ht="15" customHeight="1" x14ac:dyDescent="0.3">
      <c r="A44" s="1457"/>
      <c r="B44" s="1289"/>
      <c r="C44" s="619" t="s">
        <v>10</v>
      </c>
      <c r="D44" s="44">
        <v>6858301</v>
      </c>
      <c r="E44" s="872">
        <v>6544770</v>
      </c>
      <c r="F44" s="44">
        <v>6858301</v>
      </c>
      <c r="G44" s="1088">
        <f t="shared" si="8"/>
        <v>0</v>
      </c>
      <c r="H44" s="502">
        <f t="shared" si="7"/>
        <v>0</v>
      </c>
      <c r="I44" s="83"/>
    </row>
    <row r="45" spans="1:9" ht="17.25" thickBot="1" x14ac:dyDescent="0.35">
      <c r="A45" s="1458"/>
      <c r="B45" s="1374" t="s">
        <v>476</v>
      </c>
      <c r="C45" s="1374"/>
      <c r="D45" s="887">
        <f>SUM(D41:D44)</f>
        <v>24258301</v>
      </c>
      <c r="E45" s="887">
        <f t="shared" ref="E45" si="9">SUM(E41:E44)</f>
        <v>21056548</v>
      </c>
      <c r="F45" s="887">
        <f>SUM(F41:F44)</f>
        <v>24258301</v>
      </c>
      <c r="G45" s="1069">
        <f t="shared" si="8"/>
        <v>0</v>
      </c>
      <c r="H45" s="682">
        <f t="shared" si="7"/>
        <v>0</v>
      </c>
      <c r="I45" s="81"/>
    </row>
    <row r="46" spans="1:9" ht="17.25" customHeight="1" x14ac:dyDescent="0.3">
      <c r="A46" s="1325" t="s">
        <v>176</v>
      </c>
      <c r="B46" s="1288" t="s">
        <v>177</v>
      </c>
      <c r="C46" s="618" t="s">
        <v>178</v>
      </c>
      <c r="D46" s="884">
        <v>12000000</v>
      </c>
      <c r="E46" s="872">
        <v>11000000</v>
      </c>
      <c r="F46" s="884">
        <v>12000000</v>
      </c>
      <c r="G46" s="1088">
        <f>F46-D46</f>
        <v>0</v>
      </c>
      <c r="H46" s="502">
        <f t="shared" si="7"/>
        <v>0</v>
      </c>
      <c r="I46" s="240"/>
    </row>
    <row r="47" spans="1:9" ht="17.25" customHeight="1" x14ac:dyDescent="0.3">
      <c r="A47" s="1326"/>
      <c r="B47" s="1289"/>
      <c r="C47" s="320" t="s">
        <v>179</v>
      </c>
      <c r="D47" s="884">
        <v>12000000</v>
      </c>
      <c r="E47" s="872">
        <v>11000000</v>
      </c>
      <c r="F47" s="884">
        <v>12000000</v>
      </c>
      <c r="G47" s="1088">
        <f t="shared" ref="G47:G48" si="10">F47-D47</f>
        <v>0</v>
      </c>
      <c r="H47" s="502">
        <f t="shared" si="7"/>
        <v>0</v>
      </c>
      <c r="I47" s="83"/>
    </row>
    <row r="48" spans="1:9" ht="17.25" thickBot="1" x14ac:dyDescent="0.35">
      <c r="A48" s="1459"/>
      <c r="B48" s="1374" t="s">
        <v>465</v>
      </c>
      <c r="C48" s="1374"/>
      <c r="D48" s="519">
        <f>SUM(D46:D47)</f>
        <v>24000000</v>
      </c>
      <c r="E48" s="519">
        <f t="shared" ref="E48" si="11">SUM(E46:E47)</f>
        <v>22000000</v>
      </c>
      <c r="F48" s="887">
        <f>SUM(F46:F47)</f>
        <v>24000000</v>
      </c>
      <c r="G48" s="1069">
        <f t="shared" si="10"/>
        <v>0</v>
      </c>
      <c r="H48" s="682">
        <f t="shared" si="7"/>
        <v>0</v>
      </c>
      <c r="I48" s="135"/>
    </row>
    <row r="49" spans="1:9" ht="17.25" thickBot="1" x14ac:dyDescent="0.35">
      <c r="A49" s="1391" t="s">
        <v>482</v>
      </c>
      <c r="B49" s="1544"/>
      <c r="C49" s="1545"/>
      <c r="D49" s="615">
        <f>SUM(D13,D22,D27,D30,D33,D37,D40,D45,D48)</f>
        <v>1741700000</v>
      </c>
      <c r="E49" s="615">
        <f t="shared" ref="E49" si="12">SUM(E13,E22,E27,E30,E33,E37,E40,E45,E48)</f>
        <v>1607128725</v>
      </c>
      <c r="F49" s="615">
        <f>SUM(F13,F22,F27,F30,F33,F37,F40,F45,F48)</f>
        <v>1741700000</v>
      </c>
      <c r="G49" s="615">
        <f>F49-D49</f>
        <v>0</v>
      </c>
      <c r="H49" s="717">
        <f t="shared" si="7"/>
        <v>0</v>
      </c>
      <c r="I49" s="78"/>
    </row>
    <row r="50" spans="1:9" ht="17.25" thickBot="1" x14ac:dyDescent="0.35">
      <c r="A50" s="1527" t="s">
        <v>661</v>
      </c>
      <c r="B50" s="1528"/>
      <c r="C50" s="1528"/>
      <c r="D50" s="1528"/>
      <c r="E50" s="1528"/>
      <c r="F50" s="1528"/>
      <c r="G50" s="1528"/>
      <c r="H50" s="1528"/>
      <c r="I50" s="1528"/>
    </row>
    <row r="51" spans="1:9" ht="17.45" customHeight="1" x14ac:dyDescent="0.3">
      <c r="A51" s="1314" t="s">
        <v>29</v>
      </c>
      <c r="B51" s="1315"/>
      <c r="C51" s="1315"/>
      <c r="D51" s="1273" t="s">
        <v>237</v>
      </c>
      <c r="E51" s="1273" t="s">
        <v>394</v>
      </c>
      <c r="F51" s="1273" t="s">
        <v>310</v>
      </c>
      <c r="G51" s="1273" t="s">
        <v>59</v>
      </c>
      <c r="H51" s="1525" t="s">
        <v>49</v>
      </c>
      <c r="I51" s="1277" t="s">
        <v>61</v>
      </c>
    </row>
    <row r="52" spans="1:9" ht="18" customHeight="1" thickBot="1" x14ac:dyDescent="0.35">
      <c r="A52" s="84" t="s">
        <v>0</v>
      </c>
      <c r="B52" s="136" t="s">
        <v>1</v>
      </c>
      <c r="C52" s="136" t="s">
        <v>2</v>
      </c>
      <c r="D52" s="1274"/>
      <c r="E52" s="1274"/>
      <c r="F52" s="1274"/>
      <c r="G52" s="1274"/>
      <c r="H52" s="1526"/>
      <c r="I52" s="1278"/>
    </row>
    <row r="53" spans="1:9" x14ac:dyDescent="0.3">
      <c r="A53" s="159" t="s">
        <v>185</v>
      </c>
      <c r="B53" s="1323" t="s">
        <v>186</v>
      </c>
      <c r="C53" s="536" t="s">
        <v>17</v>
      </c>
      <c r="D53" s="35">
        <v>570208920</v>
      </c>
      <c r="E53" s="43">
        <v>479399502</v>
      </c>
      <c r="F53" s="35">
        <v>570208920</v>
      </c>
      <c r="G53" s="36">
        <f>F53-D53</f>
        <v>0</v>
      </c>
      <c r="H53" s="720">
        <f>G53/D53*100%</f>
        <v>0</v>
      </c>
      <c r="I53" s="544"/>
    </row>
    <row r="54" spans="1:9" x14ac:dyDescent="0.3">
      <c r="A54" s="64"/>
      <c r="B54" s="1289"/>
      <c r="C54" s="150" t="s">
        <v>32</v>
      </c>
      <c r="D54" s="35">
        <v>165823560</v>
      </c>
      <c r="E54" s="35">
        <v>132670228</v>
      </c>
      <c r="F54" s="35">
        <v>165823560</v>
      </c>
      <c r="G54" s="36">
        <f t="shared" ref="G54:G59" si="13">F54-D54</f>
        <v>0</v>
      </c>
      <c r="H54" s="721">
        <f>G54/D54*100%</f>
        <v>0</v>
      </c>
      <c r="I54" s="37"/>
    </row>
    <row r="55" spans="1:9" x14ac:dyDescent="0.3">
      <c r="A55" s="64"/>
      <c r="B55" s="1289"/>
      <c r="C55" s="150" t="s">
        <v>180</v>
      </c>
      <c r="D55" s="35">
        <v>5000000</v>
      </c>
      <c r="E55" s="36">
        <v>4553240</v>
      </c>
      <c r="F55" s="35">
        <v>5000000</v>
      </c>
      <c r="G55" s="36">
        <f t="shared" si="13"/>
        <v>0</v>
      </c>
      <c r="H55" s="721">
        <f>G55/D55*100%</f>
        <v>0</v>
      </c>
      <c r="I55" s="37"/>
    </row>
    <row r="56" spans="1:9" ht="21" customHeight="1" x14ac:dyDescent="0.3">
      <c r="A56" s="64"/>
      <c r="B56" s="1289"/>
      <c r="C56" s="150" t="s">
        <v>84</v>
      </c>
      <c r="D56" s="35">
        <v>61336040</v>
      </c>
      <c r="E56" s="35">
        <v>47075603</v>
      </c>
      <c r="F56" s="35">
        <v>61336040</v>
      </c>
      <c r="G56" s="36">
        <f t="shared" si="13"/>
        <v>0</v>
      </c>
      <c r="H56" s="721">
        <f>G56/D56*100%</f>
        <v>0</v>
      </c>
      <c r="I56" s="37"/>
    </row>
    <row r="57" spans="1:9" ht="21" customHeight="1" x14ac:dyDescent="0.3">
      <c r="A57" s="64"/>
      <c r="B57" s="1289"/>
      <c r="C57" s="150" t="s">
        <v>33</v>
      </c>
      <c r="D57" s="35">
        <v>78166670</v>
      </c>
      <c r="E57" s="35">
        <v>40598670</v>
      </c>
      <c r="F57" s="35">
        <v>78166670</v>
      </c>
      <c r="G57" s="36">
        <f t="shared" si="13"/>
        <v>0</v>
      </c>
      <c r="H57" s="721">
        <f>G57/D57*100%</f>
        <v>0</v>
      </c>
      <c r="I57" s="37"/>
    </row>
    <row r="58" spans="1:9" ht="21" customHeight="1" x14ac:dyDescent="0.3">
      <c r="A58" s="64"/>
      <c r="B58" s="1289"/>
      <c r="C58" s="150" t="s">
        <v>18</v>
      </c>
      <c r="D58" s="35"/>
      <c r="E58" s="35"/>
      <c r="F58" s="35"/>
      <c r="G58" s="36"/>
      <c r="H58" s="721"/>
      <c r="I58" s="37"/>
    </row>
    <row r="59" spans="1:9" ht="17.25" thickBot="1" x14ac:dyDescent="0.35">
      <c r="A59" s="64"/>
      <c r="B59" s="1324"/>
      <c r="C59" s="538" t="s">
        <v>484</v>
      </c>
      <c r="D59" s="539">
        <f>SUM(D53:D58)</f>
        <v>880535190</v>
      </c>
      <c r="E59" s="539">
        <f t="shared" ref="E59" si="14">SUM(E53:E58)</f>
        <v>704297243</v>
      </c>
      <c r="F59" s="539">
        <f>SUM(F53:F58)</f>
        <v>880535190</v>
      </c>
      <c r="G59" s="36">
        <f t="shared" si="13"/>
        <v>0</v>
      </c>
      <c r="H59" s="722">
        <f t="shared" ref="H59:H66" si="15">G59/D59*100%</f>
        <v>0</v>
      </c>
      <c r="I59" s="41"/>
    </row>
    <row r="60" spans="1:9" ht="16.5" customHeight="1" x14ac:dyDescent="0.3">
      <c r="A60" s="64"/>
      <c r="B60" s="1323" t="s">
        <v>90</v>
      </c>
      <c r="C60" s="149" t="s">
        <v>19</v>
      </c>
      <c r="D60" s="35">
        <v>2400000</v>
      </c>
      <c r="E60" s="43">
        <v>469320</v>
      </c>
      <c r="F60" s="35">
        <v>2400000</v>
      </c>
      <c r="G60" s="543">
        <f>F60-D60</f>
        <v>0</v>
      </c>
      <c r="H60" s="718">
        <f t="shared" si="15"/>
        <v>0</v>
      </c>
      <c r="I60" s="544"/>
    </row>
    <row r="61" spans="1:9" ht="16.5" customHeight="1" x14ac:dyDescent="0.3">
      <c r="A61" s="64"/>
      <c r="B61" s="1289"/>
      <c r="C61" s="219" t="s">
        <v>182</v>
      </c>
      <c r="D61" s="35">
        <v>3000000</v>
      </c>
      <c r="E61" s="35">
        <v>2500000</v>
      </c>
      <c r="F61" s="206">
        <v>3000000</v>
      </c>
      <c r="G61" s="884">
        <f t="shared" ref="G61:G63" si="16">F61-D61</f>
        <v>0</v>
      </c>
      <c r="H61" s="1119">
        <f t="shared" si="15"/>
        <v>0</v>
      </c>
      <c r="I61" s="37"/>
    </row>
    <row r="62" spans="1:9" x14ac:dyDescent="0.3">
      <c r="A62" s="64"/>
      <c r="B62" s="1289"/>
      <c r="C62" s="150" t="s">
        <v>20</v>
      </c>
      <c r="D62" s="35">
        <v>13200000</v>
      </c>
      <c r="E62" s="35">
        <v>1156425</v>
      </c>
      <c r="F62" s="206">
        <v>13200000</v>
      </c>
      <c r="G62" s="884">
        <f t="shared" si="16"/>
        <v>0</v>
      </c>
      <c r="H62" s="1119">
        <f t="shared" si="15"/>
        <v>0</v>
      </c>
      <c r="I62" s="37"/>
    </row>
    <row r="63" spans="1:9" ht="17.25" thickBot="1" x14ac:dyDescent="0.35">
      <c r="A63" s="64"/>
      <c r="B63" s="1324"/>
      <c r="C63" s="538" t="s">
        <v>484</v>
      </c>
      <c r="D63" s="539">
        <f>SUM(D60:D62)</f>
        <v>18600000</v>
      </c>
      <c r="E63" s="539">
        <f t="shared" ref="E63" si="17">SUM(E60:E62)</f>
        <v>4125745</v>
      </c>
      <c r="F63" s="539">
        <f>SUM(F60:F62)</f>
        <v>18600000</v>
      </c>
      <c r="G63" s="1120">
        <f t="shared" si="16"/>
        <v>0</v>
      </c>
      <c r="H63" s="723">
        <f t="shared" si="15"/>
        <v>0</v>
      </c>
      <c r="I63" s="41"/>
    </row>
    <row r="64" spans="1:9" x14ac:dyDescent="0.3">
      <c r="A64" s="64"/>
      <c r="B64" s="1323" t="s">
        <v>131</v>
      </c>
      <c r="C64" s="536" t="s">
        <v>21</v>
      </c>
      <c r="D64" s="43">
        <v>2400000</v>
      </c>
      <c r="E64" s="543">
        <v>37700</v>
      </c>
      <c r="F64" s="43">
        <v>2400000</v>
      </c>
      <c r="G64" s="543">
        <f>F64-D64</f>
        <v>0</v>
      </c>
      <c r="H64" s="718">
        <f t="shared" si="15"/>
        <v>0</v>
      </c>
      <c r="I64" s="544"/>
    </row>
    <row r="65" spans="1:9" ht="15" customHeight="1" x14ac:dyDescent="0.3">
      <c r="A65" s="64"/>
      <c r="B65" s="1289"/>
      <c r="C65" s="150" t="s">
        <v>34</v>
      </c>
      <c r="D65" s="77">
        <v>22460000</v>
      </c>
      <c r="E65" s="132">
        <v>10707796</v>
      </c>
      <c r="F65" s="212">
        <v>22460000</v>
      </c>
      <c r="G65" s="884">
        <f t="shared" ref="G65:G72" si="18">F65-D65</f>
        <v>0</v>
      </c>
      <c r="H65" s="1119">
        <f t="shared" si="15"/>
        <v>0</v>
      </c>
      <c r="I65" s="37"/>
    </row>
    <row r="66" spans="1:9" ht="15" customHeight="1" x14ac:dyDescent="0.3">
      <c r="A66" s="64"/>
      <c r="B66" s="1289"/>
      <c r="C66" s="150" t="s">
        <v>23</v>
      </c>
      <c r="D66" s="77">
        <v>132290000</v>
      </c>
      <c r="E66" s="44">
        <v>23803200</v>
      </c>
      <c r="F66" s="212">
        <v>132290000</v>
      </c>
      <c r="G66" s="884">
        <f t="shared" si="18"/>
        <v>0</v>
      </c>
      <c r="H66" s="1119">
        <f t="shared" si="15"/>
        <v>0</v>
      </c>
      <c r="I66" s="37"/>
    </row>
    <row r="67" spans="1:9" ht="15" customHeight="1" x14ac:dyDescent="0.3">
      <c r="A67" s="64"/>
      <c r="B67" s="1289"/>
      <c r="C67" s="150" t="s">
        <v>24</v>
      </c>
      <c r="D67" s="77"/>
      <c r="E67" s="44"/>
      <c r="F67" s="212"/>
      <c r="G67" s="884"/>
      <c r="H67" s="1119"/>
      <c r="I67" s="37"/>
    </row>
    <row r="68" spans="1:9" ht="15" customHeight="1" x14ac:dyDescent="0.3">
      <c r="A68" s="99"/>
      <c r="B68" s="1289"/>
      <c r="C68" s="150" t="s">
        <v>35</v>
      </c>
      <c r="D68" s="156">
        <v>2200000</v>
      </c>
      <c r="E68" s="132"/>
      <c r="F68" s="686">
        <v>2200000</v>
      </c>
      <c r="G68" s="884">
        <f t="shared" si="18"/>
        <v>0</v>
      </c>
      <c r="H68" s="1119">
        <f>G68/D68*100%</f>
        <v>0</v>
      </c>
      <c r="I68" s="76"/>
    </row>
    <row r="69" spans="1:9" ht="15" customHeight="1" x14ac:dyDescent="0.3">
      <c r="A69" s="99"/>
      <c r="B69" s="1289"/>
      <c r="C69" s="943" t="s">
        <v>86</v>
      </c>
      <c r="D69" s="44"/>
      <c r="E69" s="44"/>
      <c r="F69" s="209"/>
      <c r="G69" s="884"/>
      <c r="H69" s="1119"/>
      <c r="I69" s="83"/>
    </row>
    <row r="70" spans="1:9" ht="15" customHeight="1" x14ac:dyDescent="0.3">
      <c r="A70" s="99"/>
      <c r="B70" s="1289"/>
      <c r="C70" s="943" t="s">
        <v>36</v>
      </c>
      <c r="D70" s="44">
        <v>72600000</v>
      </c>
      <c r="E70" s="44">
        <v>31129160</v>
      </c>
      <c r="F70" s="209">
        <v>72600000</v>
      </c>
      <c r="G70" s="884">
        <f t="shared" si="18"/>
        <v>0</v>
      </c>
      <c r="H70" s="1119">
        <f t="shared" ref="H70:H78" si="19">G70/D70*100%</f>
        <v>0</v>
      </c>
      <c r="I70" s="514"/>
    </row>
    <row r="71" spans="1:9" ht="17.25" thickBot="1" x14ac:dyDescent="0.35">
      <c r="A71" s="99"/>
      <c r="B71" s="1324"/>
      <c r="C71" s="545" t="s">
        <v>486</v>
      </c>
      <c r="D71" s="580">
        <f>SUM(D64:D70)</f>
        <v>231950000</v>
      </c>
      <c r="E71" s="580">
        <f t="shared" ref="E71" si="20">SUM(E64:E70)</f>
        <v>65677856</v>
      </c>
      <c r="F71" s="580">
        <f>SUM(F64:F70)</f>
        <v>231950000</v>
      </c>
      <c r="G71" s="1120">
        <f t="shared" si="18"/>
        <v>0</v>
      </c>
      <c r="H71" s="723">
        <f t="shared" si="19"/>
        <v>0</v>
      </c>
      <c r="I71" s="42"/>
    </row>
    <row r="72" spans="1:9" ht="17.25" thickBot="1" x14ac:dyDescent="0.35">
      <c r="A72" s="137" t="s">
        <v>123</v>
      </c>
      <c r="B72" s="1321" t="s">
        <v>466</v>
      </c>
      <c r="C72" s="1322"/>
      <c r="D72" s="576">
        <f>SUM(D59,D63,D71)</f>
        <v>1131085190</v>
      </c>
      <c r="E72" s="520">
        <f t="shared" ref="E72" si="21">SUM(E59,E63,E71)</f>
        <v>774100844</v>
      </c>
      <c r="F72" s="889">
        <f>SUM(F59,F63,F71)</f>
        <v>1131085190</v>
      </c>
      <c r="G72" s="1121">
        <f t="shared" si="18"/>
        <v>0</v>
      </c>
      <c r="H72" s="723">
        <f t="shared" si="19"/>
        <v>0</v>
      </c>
      <c r="I72" s="41"/>
    </row>
    <row r="73" spans="1:9" ht="16.5" customHeight="1" x14ac:dyDescent="0.3">
      <c r="A73" s="1325" t="s">
        <v>189</v>
      </c>
      <c r="B73" s="1288" t="s">
        <v>42</v>
      </c>
      <c r="C73" s="151" t="s">
        <v>11</v>
      </c>
      <c r="D73" s="724">
        <v>30000000</v>
      </c>
      <c r="E73" s="221">
        <v>5651640</v>
      </c>
      <c r="F73" s="724">
        <v>30000000</v>
      </c>
      <c r="G73" s="1097">
        <f>F73-D73</f>
        <v>0</v>
      </c>
      <c r="H73" s="719">
        <f t="shared" si="19"/>
        <v>0</v>
      </c>
      <c r="I73" s="37"/>
    </row>
    <row r="74" spans="1:9" ht="16.5" customHeight="1" x14ac:dyDescent="0.3">
      <c r="A74" s="1325"/>
      <c r="B74" s="1288"/>
      <c r="C74" s="480" t="s">
        <v>337</v>
      </c>
      <c r="D74" s="884">
        <v>30000000</v>
      </c>
      <c r="E74" s="221">
        <v>1000000</v>
      </c>
      <c r="F74" s="884">
        <v>30000000</v>
      </c>
      <c r="G74" s="884">
        <f t="shared" ref="G74:G76" si="22">F74-D74</f>
        <v>0</v>
      </c>
      <c r="H74" s="1119">
        <f t="shared" si="19"/>
        <v>0</v>
      </c>
      <c r="I74" s="37"/>
    </row>
    <row r="75" spans="1:9" ht="16.5" customHeight="1" x14ac:dyDescent="0.3">
      <c r="A75" s="1326"/>
      <c r="B75" s="1289"/>
      <c r="C75" s="146" t="s">
        <v>37</v>
      </c>
      <c r="D75" s="44">
        <v>20782000</v>
      </c>
      <c r="E75" s="44">
        <v>5015800</v>
      </c>
      <c r="F75" s="44">
        <v>20782000</v>
      </c>
      <c r="G75" s="884">
        <f t="shared" si="22"/>
        <v>0</v>
      </c>
      <c r="H75" s="1119">
        <f t="shared" si="19"/>
        <v>0</v>
      </c>
      <c r="I75" s="37"/>
    </row>
    <row r="76" spans="1:9" ht="17.25" thickBot="1" x14ac:dyDescent="0.35">
      <c r="A76" s="1327"/>
      <c r="B76" s="1300" t="s">
        <v>476</v>
      </c>
      <c r="C76" s="1301"/>
      <c r="D76" s="569">
        <f>SUM(D73:D75)</f>
        <v>80782000</v>
      </c>
      <c r="E76" s="569">
        <f t="shared" ref="E76" si="23">SUM(E73:E75)</f>
        <v>11667440</v>
      </c>
      <c r="F76" s="888">
        <f>SUM(F73:F75)</f>
        <v>80782000</v>
      </c>
      <c r="G76" s="1045">
        <f t="shared" si="22"/>
        <v>0</v>
      </c>
      <c r="H76" s="723">
        <f t="shared" si="19"/>
        <v>0</v>
      </c>
      <c r="I76" s="41"/>
    </row>
    <row r="77" spans="1:9" x14ac:dyDescent="0.3">
      <c r="A77" s="1302" t="s">
        <v>197</v>
      </c>
      <c r="B77" s="1305" t="s">
        <v>131</v>
      </c>
      <c r="C77" s="585" t="s">
        <v>132</v>
      </c>
      <c r="D77" s="221">
        <f>112097480+16800000</f>
        <v>128897480</v>
      </c>
      <c r="E77" s="70">
        <f>87969231+10468278</f>
        <v>98437509</v>
      </c>
      <c r="F77" s="221">
        <f>112097480+16800000</f>
        <v>128897480</v>
      </c>
      <c r="G77" s="1097">
        <f>F77-D77</f>
        <v>0</v>
      </c>
      <c r="H77" s="718">
        <f t="shared" si="19"/>
        <v>0</v>
      </c>
      <c r="I77" s="79"/>
    </row>
    <row r="78" spans="1:9" x14ac:dyDescent="0.3">
      <c r="A78" s="1303"/>
      <c r="B78" s="1306"/>
      <c r="C78" s="622" t="s">
        <v>133</v>
      </c>
      <c r="D78" s="221">
        <v>46000000</v>
      </c>
      <c r="E78" s="221">
        <v>20935090</v>
      </c>
      <c r="F78" s="221">
        <v>46000000</v>
      </c>
      <c r="G78" s="884">
        <f t="shared" ref="G78:G82" si="24">F78-D78</f>
        <v>0</v>
      </c>
      <c r="H78" s="1119">
        <f t="shared" si="19"/>
        <v>0</v>
      </c>
      <c r="I78" s="240"/>
    </row>
    <row r="79" spans="1:9" x14ac:dyDescent="0.3">
      <c r="A79" s="1303"/>
      <c r="B79" s="1306"/>
      <c r="C79" s="622" t="s">
        <v>194</v>
      </c>
      <c r="D79" s="221"/>
      <c r="E79" s="221"/>
      <c r="F79" s="221"/>
      <c r="G79" s="884">
        <f t="shared" si="24"/>
        <v>0</v>
      </c>
      <c r="H79" s="1119"/>
      <c r="I79" s="240"/>
    </row>
    <row r="80" spans="1:9" x14ac:dyDescent="0.3">
      <c r="A80" s="1303"/>
      <c r="B80" s="1306"/>
      <c r="C80" s="230" t="s">
        <v>134</v>
      </c>
      <c r="D80" s="221">
        <v>16000000</v>
      </c>
      <c r="E80" s="44">
        <v>3830000</v>
      </c>
      <c r="F80" s="221">
        <v>16000000</v>
      </c>
      <c r="G80" s="884">
        <f t="shared" si="24"/>
        <v>0</v>
      </c>
      <c r="H80" s="1119">
        <f>G80/D80*100%</f>
        <v>0</v>
      </c>
      <c r="I80" s="83"/>
    </row>
    <row r="81" spans="1:9" x14ac:dyDescent="0.3">
      <c r="A81" s="1303"/>
      <c r="B81" s="1306"/>
      <c r="C81" s="230" t="s">
        <v>195</v>
      </c>
      <c r="D81" s="44">
        <v>20880000</v>
      </c>
      <c r="E81" s="44">
        <v>16442745</v>
      </c>
      <c r="F81" s="44">
        <v>20880000</v>
      </c>
      <c r="G81" s="884">
        <f t="shared" si="24"/>
        <v>0</v>
      </c>
      <c r="H81" s="1119">
        <f>G81/D81*100%</f>
        <v>0</v>
      </c>
      <c r="I81" s="83"/>
    </row>
    <row r="82" spans="1:9" ht="17.25" thickBot="1" x14ac:dyDescent="0.35">
      <c r="A82" s="1303"/>
      <c r="B82" s="1307"/>
      <c r="C82" s="586" t="s">
        <v>483</v>
      </c>
      <c r="D82" s="519">
        <f>SUM(D77:D81)</f>
        <v>211777480</v>
      </c>
      <c r="E82" s="519">
        <f t="shared" ref="E82" si="25">SUM(E77:E81)</f>
        <v>139645344</v>
      </c>
      <c r="F82" s="887">
        <f>SUM(F77:F81)</f>
        <v>211777480</v>
      </c>
      <c r="G82" s="1045">
        <f t="shared" si="24"/>
        <v>0</v>
      </c>
      <c r="H82" s="723">
        <f>G82/D82*100%</f>
        <v>0</v>
      </c>
      <c r="I82" s="81"/>
    </row>
    <row r="83" spans="1:9" ht="18.75" customHeight="1" x14ac:dyDescent="0.3">
      <c r="A83" s="1303"/>
      <c r="B83" s="1308" t="s">
        <v>197</v>
      </c>
      <c r="C83" s="149" t="s">
        <v>164</v>
      </c>
      <c r="D83" s="70"/>
      <c r="E83" s="70"/>
      <c r="F83" s="566"/>
      <c r="G83" s="450"/>
      <c r="H83" s="718"/>
      <c r="I83" s="79"/>
    </row>
    <row r="84" spans="1:9" ht="18.75" customHeight="1" x14ac:dyDescent="0.3">
      <c r="A84" s="1303"/>
      <c r="B84" s="1309"/>
      <c r="C84" s="943" t="s">
        <v>191</v>
      </c>
      <c r="D84" s="44"/>
      <c r="E84" s="44"/>
      <c r="F84" s="209"/>
      <c r="G84" s="703"/>
      <c r="H84" s="719"/>
      <c r="I84" s="83"/>
    </row>
    <row r="85" spans="1:9" ht="18.75" customHeight="1" x14ac:dyDescent="0.3">
      <c r="A85" s="1303"/>
      <c r="B85" s="1309"/>
      <c r="C85" s="943" t="s">
        <v>192</v>
      </c>
      <c r="D85" s="44"/>
      <c r="E85" s="44"/>
      <c r="F85" s="209"/>
      <c r="G85" s="703"/>
      <c r="H85" s="719"/>
      <c r="I85" s="83"/>
    </row>
    <row r="86" spans="1:9" ht="18.75" customHeight="1" x14ac:dyDescent="0.3">
      <c r="A86" s="1303"/>
      <c r="B86" s="1309"/>
      <c r="C86" s="943" t="s">
        <v>140</v>
      </c>
      <c r="D86" s="44"/>
      <c r="E86" s="44"/>
      <c r="F86" s="209"/>
      <c r="G86" s="703"/>
      <c r="H86" s="719"/>
      <c r="I86" s="83"/>
    </row>
    <row r="87" spans="1:9" ht="18.75" customHeight="1" x14ac:dyDescent="0.3">
      <c r="A87" s="1303"/>
      <c r="B87" s="1309"/>
      <c r="C87" s="943" t="s">
        <v>137</v>
      </c>
      <c r="D87" s="44"/>
      <c r="E87" s="44"/>
      <c r="F87" s="209"/>
      <c r="G87" s="703"/>
      <c r="H87" s="719"/>
      <c r="I87" s="83"/>
    </row>
    <row r="88" spans="1:9" ht="18.75" customHeight="1" x14ac:dyDescent="0.3">
      <c r="A88" s="1303"/>
      <c r="B88" s="1309"/>
      <c r="C88" s="943" t="s">
        <v>141</v>
      </c>
      <c r="D88" s="44"/>
      <c r="E88" s="44"/>
      <c r="F88" s="209"/>
      <c r="G88" s="703"/>
      <c r="H88" s="719"/>
      <c r="I88" s="83"/>
    </row>
    <row r="89" spans="1:9" ht="18.75" customHeight="1" x14ac:dyDescent="0.3">
      <c r="A89" s="1303"/>
      <c r="B89" s="1309"/>
      <c r="C89" s="943" t="s">
        <v>138</v>
      </c>
      <c r="D89" s="44"/>
      <c r="E89" s="44"/>
      <c r="F89" s="567"/>
      <c r="G89" s="1045"/>
      <c r="H89" s="719"/>
      <c r="I89" s="83"/>
    </row>
    <row r="90" spans="1:9" ht="18.75" customHeight="1" x14ac:dyDescent="0.3">
      <c r="A90" s="1303"/>
      <c r="B90" s="1309"/>
      <c r="C90" s="943" t="s">
        <v>139</v>
      </c>
      <c r="D90" s="44"/>
      <c r="E90" s="44"/>
      <c r="F90" s="209"/>
      <c r="G90" s="703"/>
      <c r="H90" s="719"/>
      <c r="I90" s="83"/>
    </row>
    <row r="91" spans="1:9" ht="18.75" customHeight="1" x14ac:dyDescent="0.3">
      <c r="A91" s="1303"/>
      <c r="B91" s="1309"/>
      <c r="C91" s="943" t="s">
        <v>136</v>
      </c>
      <c r="D91" s="44"/>
      <c r="E91" s="44"/>
      <c r="F91" s="209"/>
      <c r="G91" s="703"/>
      <c r="H91" s="719"/>
      <c r="I91" s="83"/>
    </row>
    <row r="92" spans="1:9" ht="18.75" customHeight="1" x14ac:dyDescent="0.3">
      <c r="A92" s="1303"/>
      <c r="B92" s="1309"/>
      <c r="C92" s="943" t="s">
        <v>135</v>
      </c>
      <c r="D92" s="44"/>
      <c r="E92" s="44"/>
      <c r="F92" s="209"/>
      <c r="G92" s="703"/>
      <c r="H92" s="719"/>
      <c r="I92" s="83"/>
    </row>
    <row r="93" spans="1:9" ht="18.75" customHeight="1" x14ac:dyDescent="0.3">
      <c r="A93" s="1303"/>
      <c r="B93" s="1309"/>
      <c r="C93" s="943" t="s">
        <v>193</v>
      </c>
      <c r="D93" s="597">
        <v>32320000</v>
      </c>
      <c r="E93" s="597">
        <v>17865860</v>
      </c>
      <c r="F93" s="597">
        <v>32320000</v>
      </c>
      <c r="G93" s="703">
        <f>F93-D93</f>
        <v>0</v>
      </c>
      <c r="H93" s="719">
        <f>G93/D93*100%</f>
        <v>0</v>
      </c>
      <c r="I93" s="83"/>
    </row>
    <row r="94" spans="1:9" ht="18.75" customHeight="1" x14ac:dyDescent="0.3">
      <c r="A94" s="1303"/>
      <c r="B94" s="1309"/>
      <c r="C94" s="943" t="s">
        <v>239</v>
      </c>
      <c r="D94" s="597">
        <v>1000000</v>
      </c>
      <c r="E94" s="597">
        <v>130730</v>
      </c>
      <c r="F94" s="597">
        <v>1000000</v>
      </c>
      <c r="G94" s="703">
        <f t="shared" ref="G94:G106" si="26">F94-D94</f>
        <v>0</v>
      </c>
      <c r="H94" s="719">
        <f>G94/D94*100%</f>
        <v>0</v>
      </c>
      <c r="I94" s="83"/>
    </row>
    <row r="95" spans="1:9" ht="18.75" customHeight="1" x14ac:dyDescent="0.3">
      <c r="A95" s="1303"/>
      <c r="B95" s="1309"/>
      <c r="C95" s="943" t="s">
        <v>240</v>
      </c>
      <c r="D95" s="597">
        <v>6000000</v>
      </c>
      <c r="E95" s="597"/>
      <c r="F95" s="597">
        <v>6000000</v>
      </c>
      <c r="G95" s="703">
        <f t="shared" si="26"/>
        <v>0</v>
      </c>
      <c r="H95" s="719">
        <f>G95/D95*100%</f>
        <v>0</v>
      </c>
      <c r="I95" s="83"/>
    </row>
    <row r="96" spans="1:9" ht="18.75" customHeight="1" x14ac:dyDescent="0.3">
      <c r="A96" s="1303"/>
      <c r="B96" s="1309"/>
      <c r="C96" s="943" t="s">
        <v>241</v>
      </c>
      <c r="D96" s="597">
        <v>2200000</v>
      </c>
      <c r="E96" s="597">
        <v>136760</v>
      </c>
      <c r="F96" s="597">
        <v>2200000</v>
      </c>
      <c r="G96" s="703">
        <f t="shared" si="26"/>
        <v>0</v>
      </c>
      <c r="H96" s="719">
        <f>G96/D96*100%</f>
        <v>0</v>
      </c>
      <c r="I96" s="83"/>
    </row>
    <row r="97" spans="1:9" ht="18.75" customHeight="1" x14ac:dyDescent="0.3">
      <c r="A97" s="1303"/>
      <c r="B97" s="1309"/>
      <c r="C97" s="943" t="s">
        <v>242</v>
      </c>
      <c r="D97" s="597">
        <v>18360000</v>
      </c>
      <c r="E97" s="597"/>
      <c r="F97" s="597">
        <v>18360000</v>
      </c>
      <c r="G97" s="703">
        <f t="shared" si="26"/>
        <v>0</v>
      </c>
      <c r="H97" s="719">
        <f>G97/D97*100%</f>
        <v>0</v>
      </c>
      <c r="I97" s="83"/>
    </row>
    <row r="98" spans="1:9" ht="18.75" customHeight="1" x14ac:dyDescent="0.3">
      <c r="A98" s="1303"/>
      <c r="B98" s="1309"/>
      <c r="C98" s="943" t="s">
        <v>243</v>
      </c>
      <c r="D98" s="597"/>
      <c r="E98" s="597"/>
      <c r="F98" s="597"/>
      <c r="G98" s="703"/>
      <c r="H98" s="719"/>
      <c r="I98" s="83"/>
    </row>
    <row r="99" spans="1:9" ht="18.75" customHeight="1" x14ac:dyDescent="0.3">
      <c r="A99" s="1303"/>
      <c r="B99" s="1309"/>
      <c r="C99" s="943" t="s">
        <v>244</v>
      </c>
      <c r="D99" s="597"/>
      <c r="E99" s="597"/>
      <c r="F99" s="597"/>
      <c r="G99" s="703"/>
      <c r="H99" s="719"/>
      <c r="I99" s="83"/>
    </row>
    <row r="100" spans="1:9" ht="18.75" customHeight="1" x14ac:dyDescent="0.3">
      <c r="A100" s="1303"/>
      <c r="B100" s="1309"/>
      <c r="C100" s="943" t="s">
        <v>245</v>
      </c>
      <c r="D100" s="597">
        <v>9800000</v>
      </c>
      <c r="E100" s="597">
        <v>666290</v>
      </c>
      <c r="F100" s="597">
        <v>9800000</v>
      </c>
      <c r="G100" s="703">
        <f t="shared" si="26"/>
        <v>0</v>
      </c>
      <c r="H100" s="719">
        <f>G100/D100*100%</f>
        <v>0</v>
      </c>
      <c r="I100" s="83"/>
    </row>
    <row r="101" spans="1:9" ht="18.75" customHeight="1" x14ac:dyDescent="0.3">
      <c r="A101" s="1303"/>
      <c r="B101" s="1309"/>
      <c r="C101" s="943" t="s">
        <v>232</v>
      </c>
      <c r="D101" s="44"/>
      <c r="E101" s="44"/>
      <c r="F101" s="44"/>
      <c r="G101" s="703"/>
      <c r="H101" s="719"/>
      <c r="I101" s="83"/>
    </row>
    <row r="102" spans="1:9" ht="18.75" customHeight="1" x14ac:dyDescent="0.3">
      <c r="A102" s="1303"/>
      <c r="B102" s="1309"/>
      <c r="C102" s="943" t="s">
        <v>233</v>
      </c>
      <c r="D102" s="44"/>
      <c r="E102" s="44"/>
      <c r="F102" s="44"/>
      <c r="G102" s="703"/>
      <c r="H102" s="719"/>
      <c r="I102" s="83"/>
    </row>
    <row r="103" spans="1:9" ht="18.75" customHeight="1" x14ac:dyDescent="0.3">
      <c r="A103" s="1303"/>
      <c r="B103" s="1309"/>
      <c r="C103" s="943" t="s">
        <v>234</v>
      </c>
      <c r="D103" s="44"/>
      <c r="E103" s="44"/>
      <c r="F103" s="44"/>
      <c r="G103" s="703"/>
      <c r="H103" s="719"/>
      <c r="I103" s="83"/>
    </row>
    <row r="104" spans="1:9" ht="18.75" customHeight="1" x14ac:dyDescent="0.3">
      <c r="A104" s="1303"/>
      <c r="B104" s="1309"/>
      <c r="C104" s="943" t="s">
        <v>235</v>
      </c>
      <c r="D104" s="44"/>
      <c r="E104" s="44"/>
      <c r="F104" s="44"/>
      <c r="G104" s="703"/>
      <c r="H104" s="719"/>
      <c r="I104" s="83"/>
    </row>
    <row r="105" spans="1:9" ht="17.25" thickBot="1" x14ac:dyDescent="0.35">
      <c r="A105" s="1303"/>
      <c r="B105" s="1310"/>
      <c r="C105" s="478" t="s">
        <v>487</v>
      </c>
      <c r="D105" s="887">
        <f>SUM(D83:D104)</f>
        <v>69680000</v>
      </c>
      <c r="E105" s="887">
        <f>SUM(E83:E104)</f>
        <v>18799640</v>
      </c>
      <c r="F105" s="887">
        <f>SUM(F83:F104)</f>
        <v>69680000</v>
      </c>
      <c r="G105" s="933">
        <f t="shared" si="26"/>
        <v>0</v>
      </c>
      <c r="H105" s="723">
        <f>G105/D105*100%</f>
        <v>0</v>
      </c>
      <c r="I105" s="81"/>
    </row>
    <row r="106" spans="1:9" ht="17.25" thickBot="1" x14ac:dyDescent="0.35">
      <c r="A106" s="1304"/>
      <c r="B106" s="1311" t="s">
        <v>13</v>
      </c>
      <c r="C106" s="1311"/>
      <c r="D106" s="629">
        <f>SUM(D82,D105)</f>
        <v>281457480</v>
      </c>
      <c r="E106" s="629">
        <f>SUM(E82,E105)</f>
        <v>158444984</v>
      </c>
      <c r="F106" s="629">
        <f>SUM(F82,F105)</f>
        <v>281457480</v>
      </c>
      <c r="G106" s="1100">
        <f t="shared" si="26"/>
        <v>0</v>
      </c>
      <c r="H106" s="1046">
        <f>G106/D106*100%</f>
        <v>0</v>
      </c>
      <c r="I106" s="573"/>
    </row>
    <row r="107" spans="1:9" x14ac:dyDescent="0.3">
      <c r="A107" s="1303" t="s">
        <v>278</v>
      </c>
      <c r="B107" s="360" t="s">
        <v>5</v>
      </c>
      <c r="C107" s="219" t="s">
        <v>8</v>
      </c>
      <c r="D107" s="71">
        <v>1000000</v>
      </c>
      <c r="E107" s="71">
        <v>240000</v>
      </c>
      <c r="F107" s="71">
        <v>1000000</v>
      </c>
      <c r="G107" s="450">
        <f>F107-D107</f>
        <v>0</v>
      </c>
      <c r="H107" s="719">
        <f>G107/D107*100%</f>
        <v>0</v>
      </c>
      <c r="I107" s="37"/>
    </row>
    <row r="108" spans="1:9" ht="17.25" thickBot="1" x14ac:dyDescent="0.35">
      <c r="A108" s="1304"/>
      <c r="B108" s="1312" t="s">
        <v>13</v>
      </c>
      <c r="C108" s="1313"/>
      <c r="D108" s="569">
        <f>D107</f>
        <v>1000000</v>
      </c>
      <c r="E108" s="569">
        <f t="shared" ref="E108" si="27">E107</f>
        <v>240000</v>
      </c>
      <c r="F108" s="888">
        <f>F107</f>
        <v>1000000</v>
      </c>
      <c r="G108" s="1045">
        <f>F108-D108</f>
        <v>0</v>
      </c>
      <c r="H108" s="725">
        <f>G108/D108*100%</f>
        <v>0</v>
      </c>
      <c r="I108" s="42"/>
    </row>
    <row r="109" spans="1:9" x14ac:dyDescent="0.3">
      <c r="A109" s="1286" t="s">
        <v>198</v>
      </c>
      <c r="B109" s="1288" t="s">
        <v>271</v>
      </c>
      <c r="C109" s="151" t="s">
        <v>65</v>
      </c>
      <c r="D109" s="885">
        <v>1261957</v>
      </c>
      <c r="E109" s="885"/>
      <c r="F109" s="885">
        <v>1261957</v>
      </c>
      <c r="G109" s="71">
        <f>F109-D109</f>
        <v>0</v>
      </c>
      <c r="H109" s="728">
        <f>G109/D109*100%</f>
        <v>0</v>
      </c>
      <c r="I109" s="727"/>
    </row>
    <row r="110" spans="1:9" x14ac:dyDescent="0.3">
      <c r="A110" s="1286"/>
      <c r="B110" s="1289"/>
      <c r="C110" s="146" t="s">
        <v>38</v>
      </c>
      <c r="D110" s="212"/>
      <c r="E110" s="44"/>
      <c r="F110" s="212"/>
      <c r="G110" s="732"/>
      <c r="H110" s="719"/>
      <c r="I110" s="37"/>
    </row>
    <row r="111" spans="1:9" ht="17.25" thickBot="1" x14ac:dyDescent="0.35">
      <c r="A111" s="1461"/>
      <c r="B111" s="1321" t="s">
        <v>13</v>
      </c>
      <c r="C111" s="1322"/>
      <c r="D111" s="889">
        <f>SUM(D109:D110)</f>
        <v>1261957</v>
      </c>
      <c r="E111" s="889">
        <f t="shared" ref="E111" si="28">SUM(E109:E110)</f>
        <v>0</v>
      </c>
      <c r="F111" s="889">
        <f>SUM(F109:F110)</f>
        <v>1261957</v>
      </c>
      <c r="G111" s="631">
        <f>F111-D111</f>
        <v>0</v>
      </c>
      <c r="H111" s="725">
        <f t="shared" ref="H111:H119" si="29">G111/D111*100%</f>
        <v>0</v>
      </c>
      <c r="I111" s="42"/>
    </row>
    <row r="112" spans="1:9" ht="23.25" customHeight="1" x14ac:dyDescent="0.3">
      <c r="A112" s="1316" t="s">
        <v>176</v>
      </c>
      <c r="B112" s="1319" t="s">
        <v>384</v>
      </c>
      <c r="C112" s="149" t="s">
        <v>385</v>
      </c>
      <c r="D112" s="68">
        <v>12000000</v>
      </c>
      <c r="E112" s="71">
        <v>11000000</v>
      </c>
      <c r="F112" s="68">
        <v>12000000</v>
      </c>
      <c r="G112" s="1097">
        <f>F112-D112</f>
        <v>0</v>
      </c>
      <c r="H112" s="719">
        <f t="shared" si="29"/>
        <v>0</v>
      </c>
      <c r="I112" s="692"/>
    </row>
    <row r="113" spans="1:9" x14ac:dyDescent="0.3">
      <c r="A113" s="1317"/>
      <c r="B113" s="1320"/>
      <c r="C113" s="624" t="s">
        <v>179</v>
      </c>
      <c r="D113" s="77">
        <v>12000000</v>
      </c>
      <c r="E113" s="44">
        <v>11000000</v>
      </c>
      <c r="F113" s="212">
        <v>12000000</v>
      </c>
      <c r="G113" s="884">
        <f t="shared" ref="G113:G114" si="30">F113-D113</f>
        <v>0</v>
      </c>
      <c r="H113" s="1119">
        <f t="shared" si="29"/>
        <v>0</v>
      </c>
      <c r="I113" s="693"/>
    </row>
    <row r="114" spans="1:9" ht="17.25" thickBot="1" x14ac:dyDescent="0.35">
      <c r="A114" s="1318"/>
      <c r="B114" s="1321" t="s">
        <v>386</v>
      </c>
      <c r="C114" s="1322"/>
      <c r="D114" s="576">
        <f>SUM(D112:D113)</f>
        <v>24000000</v>
      </c>
      <c r="E114" s="576">
        <f t="shared" ref="E114" si="31">SUM(E112:E113)</f>
        <v>22000000</v>
      </c>
      <c r="F114" s="889">
        <f>SUM(F112:F113)</f>
        <v>24000000</v>
      </c>
      <c r="G114" s="1045">
        <f t="shared" si="30"/>
        <v>0</v>
      </c>
      <c r="H114" s="726">
        <f t="shared" si="29"/>
        <v>0</v>
      </c>
      <c r="I114" s="42"/>
    </row>
    <row r="115" spans="1:9" x14ac:dyDescent="0.3">
      <c r="A115" s="1317" t="s">
        <v>364</v>
      </c>
      <c r="B115" s="1529" t="s">
        <v>387</v>
      </c>
      <c r="C115" s="623" t="s">
        <v>388</v>
      </c>
      <c r="D115" s="68">
        <v>117755580</v>
      </c>
      <c r="E115" s="71"/>
      <c r="F115" s="68">
        <v>117755580</v>
      </c>
      <c r="G115" s="1097">
        <f>F115-D115</f>
        <v>0</v>
      </c>
      <c r="H115" s="719">
        <f t="shared" si="29"/>
        <v>0</v>
      </c>
      <c r="I115" s="76"/>
    </row>
    <row r="116" spans="1:9" ht="33" x14ac:dyDescent="0.3">
      <c r="A116" s="1317"/>
      <c r="B116" s="1320"/>
      <c r="C116" s="624" t="s">
        <v>367</v>
      </c>
      <c r="D116" s="77">
        <v>104357793</v>
      </c>
      <c r="E116" s="44"/>
      <c r="F116" s="212">
        <v>104357793</v>
      </c>
      <c r="G116" s="884">
        <f t="shared" ref="G116:G119" si="32">F116-D116</f>
        <v>0</v>
      </c>
      <c r="H116" s="1119">
        <f t="shared" si="29"/>
        <v>0</v>
      </c>
      <c r="I116" s="693"/>
    </row>
    <row r="117" spans="1:9" ht="17.25" thickBot="1" x14ac:dyDescent="0.35">
      <c r="A117" s="1318"/>
      <c r="B117" s="1321" t="s">
        <v>13</v>
      </c>
      <c r="C117" s="1322"/>
      <c r="D117" s="576">
        <f>SUM(D115:D116)</f>
        <v>222113373</v>
      </c>
      <c r="E117" s="576">
        <f t="shared" ref="E117" si="33">SUM(E115:E116)</f>
        <v>0</v>
      </c>
      <c r="F117" s="889">
        <f>SUM(F115:F116)</f>
        <v>222113373</v>
      </c>
      <c r="G117" s="884">
        <f t="shared" si="32"/>
        <v>0</v>
      </c>
      <c r="H117" s="1122">
        <f t="shared" si="29"/>
        <v>0</v>
      </c>
      <c r="I117" s="42"/>
    </row>
    <row r="118" spans="1:9" ht="17.25" thickBot="1" x14ac:dyDescent="0.35">
      <c r="A118" s="152" t="s">
        <v>389</v>
      </c>
      <c r="B118" s="153" t="s">
        <v>389</v>
      </c>
      <c r="C118" s="220" t="s">
        <v>390</v>
      </c>
      <c r="D118" s="213"/>
      <c r="E118" s="224">
        <v>640675457</v>
      </c>
      <c r="F118" s="213"/>
      <c r="G118" s="1045">
        <f t="shared" si="32"/>
        <v>0</v>
      </c>
      <c r="H118" s="726" t="e">
        <f t="shared" si="29"/>
        <v>#DIV/0!</v>
      </c>
      <c r="I118" s="138"/>
    </row>
    <row r="119" spans="1:9" ht="17.25" thickBot="1" x14ac:dyDescent="0.35">
      <c r="A119" s="1391" t="s">
        <v>372</v>
      </c>
      <c r="B119" s="1392"/>
      <c r="C119" s="1393"/>
      <c r="D119" s="302">
        <f>SUM(D72,D76,D106,D108,D111,D118,D117,D114)</f>
        <v>1741700000</v>
      </c>
      <c r="E119" s="302">
        <f t="shared" ref="E119" si="34">SUM(E72,E76,E106,E108,E111,E118,E117,E114)</f>
        <v>1607128725</v>
      </c>
      <c r="F119" s="302">
        <f>SUM(F72,F76,F106,F108,F111,F118,F117,F114)</f>
        <v>1741700000</v>
      </c>
      <c r="G119" s="1123">
        <f t="shared" si="32"/>
        <v>0</v>
      </c>
      <c r="H119" s="729">
        <f t="shared" si="29"/>
        <v>0</v>
      </c>
      <c r="I119" s="78"/>
    </row>
  </sheetData>
  <mergeCells count="70">
    <mergeCell ref="A115:A117"/>
    <mergeCell ref="B115:B116"/>
    <mergeCell ref="B117:C117"/>
    <mergeCell ref="A119:C119"/>
    <mergeCell ref="B33:C33"/>
    <mergeCell ref="A109:A111"/>
    <mergeCell ref="B109:B110"/>
    <mergeCell ref="B111:C111"/>
    <mergeCell ref="A77:A106"/>
    <mergeCell ref="B77:B82"/>
    <mergeCell ref="B83:B105"/>
    <mergeCell ref="B106:C106"/>
    <mergeCell ref="A107:A108"/>
    <mergeCell ref="B108:C108"/>
    <mergeCell ref="A112:A114"/>
    <mergeCell ref="B112:B113"/>
    <mergeCell ref="B114:C114"/>
    <mergeCell ref="B53:B59"/>
    <mergeCell ref="B60:B63"/>
    <mergeCell ref="B64:B71"/>
    <mergeCell ref="B72:C72"/>
    <mergeCell ref="A73:A76"/>
    <mergeCell ref="B73:B75"/>
    <mergeCell ref="B76:C76"/>
    <mergeCell ref="A49:C49"/>
    <mergeCell ref="A50:I50"/>
    <mergeCell ref="A51:C51"/>
    <mergeCell ref="D51:D52"/>
    <mergeCell ref="E51:E52"/>
    <mergeCell ref="G51:G52"/>
    <mergeCell ref="H51:H52"/>
    <mergeCell ref="I51:I52"/>
    <mergeCell ref="F51:F52"/>
    <mergeCell ref="A41:A45"/>
    <mergeCell ref="B41:B44"/>
    <mergeCell ref="B45:C45"/>
    <mergeCell ref="A46:A48"/>
    <mergeCell ref="B46:B47"/>
    <mergeCell ref="B48:C48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8:A13"/>
    <mergeCell ref="B8:B12"/>
    <mergeCell ref="B13:C13"/>
    <mergeCell ref="A14:A22"/>
    <mergeCell ref="B14:B21"/>
    <mergeCell ref="B22:C22"/>
    <mergeCell ref="A1:I1"/>
    <mergeCell ref="A2:I2"/>
    <mergeCell ref="A3:I4"/>
    <mergeCell ref="A5:I5"/>
    <mergeCell ref="A6:C6"/>
    <mergeCell ref="D6:D7"/>
    <mergeCell ref="E6:E7"/>
    <mergeCell ref="G6:G7"/>
    <mergeCell ref="H6:H7"/>
    <mergeCell ref="I6:I7"/>
    <mergeCell ref="F6:F7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zoomScale="85" zoomScaleNormal="85" workbookViewId="0">
      <selection activeCell="K29" sqref="K29"/>
    </sheetView>
  </sheetViews>
  <sheetFormatPr defaultRowHeight="16.5" x14ac:dyDescent="0.3"/>
  <cols>
    <col min="1" max="1" width="4.25" customWidth="1"/>
    <col min="2" max="2" width="14.375" customWidth="1"/>
    <col min="3" max="3" width="15.25" style="5" customWidth="1"/>
    <col min="4" max="4" width="27.875" style="5" customWidth="1"/>
    <col min="5" max="5" width="19.25" customWidth="1"/>
    <col min="6" max="6" width="20.625" customWidth="1"/>
    <col min="7" max="7" width="21.25" customWidth="1"/>
    <col min="8" max="8" width="19.875" customWidth="1"/>
    <col min="9" max="9" width="11.5" customWidth="1"/>
    <col min="10" max="10" width="44.375" customWidth="1"/>
  </cols>
  <sheetData>
    <row r="1" spans="1:10" x14ac:dyDescent="0.3">
      <c r="A1" s="1227"/>
      <c r="B1" s="1227"/>
      <c r="C1" s="1227"/>
      <c r="D1" s="1227"/>
      <c r="E1" s="1227"/>
      <c r="F1" s="1227"/>
      <c r="G1" s="1227"/>
      <c r="H1" s="1227"/>
      <c r="I1" s="1227"/>
      <c r="J1" s="1227"/>
    </row>
    <row r="2" spans="1:10" ht="21.75" customHeight="1" x14ac:dyDescent="0.3">
      <c r="A2" s="1357" t="s">
        <v>125</v>
      </c>
      <c r="B2" s="1357"/>
      <c r="C2" s="1357"/>
      <c r="D2" s="1357"/>
      <c r="E2" s="1357"/>
      <c r="F2" s="1357"/>
      <c r="G2" s="1357"/>
      <c r="H2" s="1357"/>
      <c r="I2" s="1357"/>
      <c r="J2" s="1357"/>
    </row>
    <row r="3" spans="1:10" ht="30.75" customHeight="1" x14ac:dyDescent="0.3">
      <c r="A3" s="1358" t="s">
        <v>124</v>
      </c>
      <c r="B3" s="1358"/>
      <c r="C3" s="1358"/>
      <c r="D3" s="1358"/>
      <c r="E3" s="1358"/>
      <c r="F3" s="1358"/>
      <c r="G3" s="1358"/>
      <c r="H3" s="1358"/>
      <c r="I3" s="1358"/>
      <c r="J3" s="1358"/>
    </row>
    <row r="4" spans="1:10" ht="20.25" customHeight="1" x14ac:dyDescent="0.3">
      <c r="A4" s="1359" t="s">
        <v>727</v>
      </c>
      <c r="B4" s="1359"/>
      <c r="C4" s="1359"/>
      <c r="D4" s="1359"/>
      <c r="E4" s="1359"/>
      <c r="F4" s="1359"/>
      <c r="G4" s="1359"/>
      <c r="H4" s="1359"/>
      <c r="I4" s="1359"/>
      <c r="J4" s="1359"/>
    </row>
    <row r="5" spans="1:10" ht="18" thickBot="1" x14ac:dyDescent="0.35">
      <c r="A5" s="1218"/>
      <c r="B5" s="1375" t="s">
        <v>729</v>
      </c>
      <c r="C5" s="1375"/>
      <c r="D5" s="1375"/>
      <c r="E5" s="1375"/>
      <c r="F5" s="1375"/>
      <c r="G5" s="1375"/>
      <c r="H5" s="1375"/>
      <c r="I5" s="1375"/>
      <c r="J5" s="1375"/>
    </row>
    <row r="6" spans="1:10" ht="17.25" x14ac:dyDescent="0.3">
      <c r="A6" s="1245" t="s">
        <v>126</v>
      </c>
      <c r="B6" s="1376" t="s">
        <v>14</v>
      </c>
      <c r="C6" s="1377"/>
      <c r="D6" s="1377"/>
      <c r="E6" s="1273" t="s">
        <v>237</v>
      </c>
      <c r="F6" s="1273" t="s">
        <v>394</v>
      </c>
      <c r="G6" s="1273" t="s">
        <v>236</v>
      </c>
      <c r="H6" s="1273" t="s">
        <v>59</v>
      </c>
      <c r="I6" s="1328" t="s">
        <v>49</v>
      </c>
      <c r="J6" s="1332" t="s">
        <v>61</v>
      </c>
    </row>
    <row r="7" spans="1:10" ht="18" thickBot="1" x14ac:dyDescent="0.35">
      <c r="A7" s="1246"/>
      <c r="B7" s="203" t="s">
        <v>0</v>
      </c>
      <c r="C7" s="63" t="s">
        <v>1</v>
      </c>
      <c r="D7" s="63" t="s">
        <v>2</v>
      </c>
      <c r="E7" s="1274"/>
      <c r="F7" s="1274"/>
      <c r="G7" s="1274"/>
      <c r="H7" s="1274"/>
      <c r="I7" s="1329"/>
      <c r="J7" s="1333"/>
    </row>
    <row r="8" spans="1:10" x14ac:dyDescent="0.3">
      <c r="A8" s="1345" t="s">
        <v>127</v>
      </c>
      <c r="B8" s="1417" t="s">
        <v>621</v>
      </c>
      <c r="C8" s="330" t="s">
        <v>507</v>
      </c>
      <c r="D8" s="331" t="s">
        <v>622</v>
      </c>
      <c r="E8" s="308">
        <f>'1. 본부사무국'!D8</f>
        <v>37984430</v>
      </c>
      <c r="F8" s="308">
        <f>'1. 본부사무국'!E8</f>
        <v>19571030</v>
      </c>
      <c r="G8" s="308">
        <f>'1. 본부사무국'!F8</f>
        <v>37984430</v>
      </c>
      <c r="H8" s="1208">
        <f>G8-E8</f>
        <v>0</v>
      </c>
      <c r="I8" s="288">
        <f>H8/E8*100%</f>
        <v>0</v>
      </c>
      <c r="J8" s="309"/>
    </row>
    <row r="9" spans="1:10" ht="17.25" thickBot="1" x14ac:dyDescent="0.35">
      <c r="A9" s="1345"/>
      <c r="B9" s="1418"/>
      <c r="C9" s="1419" t="s">
        <v>623</v>
      </c>
      <c r="D9" s="1420"/>
      <c r="E9" s="396">
        <f>E8</f>
        <v>37984430</v>
      </c>
      <c r="F9" s="396">
        <f t="shared" ref="F9:H9" si="0">F8</f>
        <v>19571030</v>
      </c>
      <c r="G9" s="396">
        <f t="shared" si="0"/>
        <v>37984430</v>
      </c>
      <c r="H9" s="396">
        <f t="shared" si="0"/>
        <v>0</v>
      </c>
      <c r="I9" s="284">
        <f>H9/E9*100%</f>
        <v>0</v>
      </c>
      <c r="J9" s="270"/>
    </row>
    <row r="10" spans="1:10" ht="23.25" customHeight="1" x14ac:dyDescent="0.3">
      <c r="A10" s="1407"/>
      <c r="B10" s="1360" t="s">
        <v>512</v>
      </c>
      <c r="C10" s="393" t="s">
        <v>513</v>
      </c>
      <c r="D10" s="394" t="s">
        <v>15</v>
      </c>
      <c r="E10" s="285">
        <f>'1. 본부사무국'!D10</f>
        <v>20000000</v>
      </c>
      <c r="F10" s="285">
        <f>'1. 본부사무국'!E10</f>
        <v>20000000</v>
      </c>
      <c r="G10" s="285">
        <f>'1. 본부사무국'!F10</f>
        <v>20000000</v>
      </c>
      <c r="H10" s="1208">
        <f t="shared" ref="H10:H22" si="1">G10-E10</f>
        <v>0</v>
      </c>
      <c r="I10" s="288">
        <f>H10/E10*100%</f>
        <v>0</v>
      </c>
      <c r="J10" s="310"/>
    </row>
    <row r="11" spans="1:10" ht="17.25" thickBot="1" x14ac:dyDescent="0.35">
      <c r="A11" s="1407"/>
      <c r="B11" s="1361"/>
      <c r="C11" s="1362" t="s">
        <v>510</v>
      </c>
      <c r="D11" s="1363"/>
      <c r="E11" s="418">
        <f>E10</f>
        <v>20000000</v>
      </c>
      <c r="F11" s="418">
        <f t="shared" ref="F11:G11" si="2">F10</f>
        <v>20000000</v>
      </c>
      <c r="G11" s="418">
        <f t="shared" si="2"/>
        <v>20000000</v>
      </c>
      <c r="H11" s="1209">
        <f t="shared" si="1"/>
        <v>0</v>
      </c>
      <c r="I11" s="284">
        <f>H11/E11*100%</f>
        <v>0</v>
      </c>
      <c r="J11" s="311"/>
    </row>
    <row r="12" spans="1:10" x14ac:dyDescent="0.3">
      <c r="A12" s="1407"/>
      <c r="B12" s="1341" t="s">
        <v>624</v>
      </c>
      <c r="C12" s="1422" t="s">
        <v>516</v>
      </c>
      <c r="D12" s="394" t="s">
        <v>518</v>
      </c>
      <c r="E12" s="285"/>
      <c r="F12" s="285"/>
      <c r="G12" s="285"/>
      <c r="H12" s="286"/>
      <c r="I12" s="288"/>
      <c r="J12" s="310"/>
    </row>
    <row r="13" spans="1:10" x14ac:dyDescent="0.3">
      <c r="A13" s="1407"/>
      <c r="B13" s="1421"/>
      <c r="C13" s="1423"/>
      <c r="D13" s="199" t="s">
        <v>519</v>
      </c>
      <c r="E13" s="115">
        <f>'1. 본부사무국'!D13+'2.서울지부'!D13+'3.부산지부'!D13</f>
        <v>26062470</v>
      </c>
      <c r="F13" s="115">
        <f>'1. 본부사무국'!E13+'2.서울지부'!E13+'3.부산지부'!E13</f>
        <v>28032674</v>
      </c>
      <c r="G13" s="115">
        <f>'1. 본부사무국'!F13+'2.서울지부'!F13+'3.부산지부'!F13</f>
        <v>28032674</v>
      </c>
      <c r="H13" s="278">
        <f t="shared" si="1"/>
        <v>1970204</v>
      </c>
      <c r="I13" s="283">
        <f t="shared" ref="I13:I16" si="3">H13/E13*100%</f>
        <v>7.5595444330487482E-2</v>
      </c>
      <c r="J13" s="122"/>
    </row>
    <row r="14" spans="1:10" ht="17.25" thickBot="1" x14ac:dyDescent="0.35">
      <c r="A14" s="1407"/>
      <c r="B14" s="1361"/>
      <c r="C14" s="1424" t="s">
        <v>510</v>
      </c>
      <c r="D14" s="1425"/>
      <c r="E14" s="418">
        <f>SUM(E12:E13)</f>
        <v>26062470</v>
      </c>
      <c r="F14" s="418">
        <f t="shared" ref="F14:G14" si="4">SUM(F12:F13)</f>
        <v>28032674</v>
      </c>
      <c r="G14" s="418">
        <f t="shared" si="4"/>
        <v>28032674</v>
      </c>
      <c r="H14" s="439">
        <f t="shared" si="1"/>
        <v>1970204</v>
      </c>
      <c r="I14" s="490">
        <f t="shared" si="3"/>
        <v>7.5595444330487482E-2</v>
      </c>
      <c r="J14" s="120"/>
    </row>
    <row r="15" spans="1:10" x14ac:dyDescent="0.3">
      <c r="A15" s="1407"/>
      <c r="B15" s="1339" t="s">
        <v>632</v>
      </c>
      <c r="C15" s="487" t="s">
        <v>609</v>
      </c>
      <c r="D15" s="469" t="s">
        <v>4</v>
      </c>
      <c r="E15" s="285">
        <f>'1. 본부사무국'!D15+'2.서울지부'!D15+'3.부산지부'!D15</f>
        <v>18413400</v>
      </c>
      <c r="F15" s="488">
        <f>'1. 본부사무국'!E15+'2.서울지부'!E15+'3.부산지부'!E15</f>
        <v>0</v>
      </c>
      <c r="G15" s="285">
        <f>'1. 본부사무국'!F15+'2.서울지부'!F15+'3.부산지부'!F15</f>
        <v>18413400</v>
      </c>
      <c r="H15" s="402">
        <f t="shared" si="1"/>
        <v>0</v>
      </c>
      <c r="I15" s="288">
        <f t="shared" si="3"/>
        <v>0</v>
      </c>
      <c r="J15" s="486"/>
    </row>
    <row r="16" spans="1:10" ht="17.25" thickBot="1" x14ac:dyDescent="0.35">
      <c r="A16" s="1407"/>
      <c r="B16" s="1335"/>
      <c r="C16" s="1348" t="s">
        <v>704</v>
      </c>
      <c r="D16" s="1349"/>
      <c r="E16" s="489">
        <f>E15</f>
        <v>18413400</v>
      </c>
      <c r="F16" s="489">
        <f t="shared" ref="F16:G16" si="5">F15</f>
        <v>0</v>
      </c>
      <c r="G16" s="489">
        <f t="shared" si="5"/>
        <v>18413400</v>
      </c>
      <c r="H16" s="1064">
        <f t="shared" si="1"/>
        <v>0</v>
      </c>
      <c r="I16" s="484">
        <f t="shared" si="3"/>
        <v>0</v>
      </c>
      <c r="J16" s="485"/>
    </row>
    <row r="17" spans="1:10" x14ac:dyDescent="0.3">
      <c r="A17" s="1407"/>
      <c r="B17" s="1426" t="s">
        <v>625</v>
      </c>
      <c r="C17" s="1429" t="s">
        <v>626</v>
      </c>
      <c r="D17" s="482" t="s">
        <v>627</v>
      </c>
      <c r="E17" s="116">
        <f>'1. 본부사무국'!D17+'2.서울지부'!D17+'3.부산지부'!D17</f>
        <v>14708169</v>
      </c>
      <c r="F17" s="116">
        <f>'1. 본부사무국'!E17+'2.서울지부'!E17+'3.부산지부'!E17</f>
        <v>13808169</v>
      </c>
      <c r="G17" s="1211">
        <f>'1. 본부사무국'!F17+'2.서울지부'!F17+'3.부산지부'!F17</f>
        <v>14440330</v>
      </c>
      <c r="H17" s="286">
        <f t="shared" si="1"/>
        <v>-267839</v>
      </c>
      <c r="I17" s="288">
        <f>H17/E17*100%</f>
        <v>-1.8210220456400795E-2</v>
      </c>
      <c r="J17" s="279"/>
    </row>
    <row r="18" spans="1:10" x14ac:dyDescent="0.3">
      <c r="A18" s="1407"/>
      <c r="B18" s="1427"/>
      <c r="C18" s="1430"/>
      <c r="D18" s="395" t="s">
        <v>628</v>
      </c>
      <c r="E18" s="117">
        <f>'1. 본부사무국'!D18+'2.서울지부'!D18+'3.부산지부'!D18</f>
        <v>10202268</v>
      </c>
      <c r="F18" s="117">
        <f>'1. 본부사무국'!E18+'2.서울지부'!E18+'3.부산지부'!E18</f>
        <v>10202268</v>
      </c>
      <c r="G18" s="1210">
        <f>'1. 본부사무국'!F18+'2.서울지부'!F18+'3.부산지부'!F18</f>
        <v>10498048</v>
      </c>
      <c r="H18" s="278">
        <f t="shared" si="1"/>
        <v>295780</v>
      </c>
      <c r="I18" s="284">
        <f>H18/E18*100%</f>
        <v>2.8991592849746742E-2</v>
      </c>
      <c r="J18" s="280"/>
    </row>
    <row r="19" spans="1:10" ht="17.25" thickBot="1" x14ac:dyDescent="0.35">
      <c r="A19" s="1407"/>
      <c r="B19" s="1428"/>
      <c r="C19" s="1431" t="s">
        <v>629</v>
      </c>
      <c r="D19" s="1431"/>
      <c r="E19" s="418">
        <f>SUM(E17:E18)</f>
        <v>24910437</v>
      </c>
      <c r="F19" s="418">
        <f t="shared" ref="F19:G19" si="6">SUM(F17:F18)</f>
        <v>24010437</v>
      </c>
      <c r="G19" s="418">
        <f t="shared" si="6"/>
        <v>24938378</v>
      </c>
      <c r="H19" s="401">
        <f t="shared" si="1"/>
        <v>27941</v>
      </c>
      <c r="I19" s="826">
        <f>H19/E19*100%</f>
        <v>1.1216583635204793E-3</v>
      </c>
      <c r="J19" s="120"/>
    </row>
    <row r="20" spans="1:10" x14ac:dyDescent="0.3">
      <c r="A20" s="1407"/>
      <c r="B20" s="1409" t="s">
        <v>630</v>
      </c>
      <c r="C20" s="1411" t="s">
        <v>530</v>
      </c>
      <c r="D20" s="440" t="s">
        <v>631</v>
      </c>
      <c r="E20" s="118">
        <f>'1. 본부사무국'!D20+'2.서울지부'!D20+'3.부산지부'!D20</f>
        <v>13864700</v>
      </c>
      <c r="F20" s="118">
        <f>'1. 본부사무국'!E20+'2.서울지부'!E20+'3.부산지부'!E20</f>
        <v>6316716</v>
      </c>
      <c r="G20" s="118">
        <f>'1. 본부사무국'!F20+'2.서울지부'!F20+'3.부산지부'!F20</f>
        <v>13866516</v>
      </c>
      <c r="H20" s="442">
        <f t="shared" si="1"/>
        <v>1816</v>
      </c>
      <c r="I20" s="284">
        <f>H20/E20*100%</f>
        <v>1.3098011496822867E-4</v>
      </c>
      <c r="J20" s="312"/>
    </row>
    <row r="21" spans="1:10" x14ac:dyDescent="0.3">
      <c r="A21" s="1407"/>
      <c r="B21" s="1410"/>
      <c r="C21" s="1412"/>
      <c r="D21" s="441" t="s">
        <v>587</v>
      </c>
      <c r="E21" s="115">
        <f>'1. 본부사무국'!D21+'2.서울지부'!D21+'3.부산지부'!D21</f>
        <v>8587600</v>
      </c>
      <c r="F21" s="115">
        <f>'1. 본부사무국'!E21+'2.서울지부'!E21+'3.부산지부'!E21</f>
        <v>15943376</v>
      </c>
      <c r="G21" s="118">
        <f>'1. 본부사무국'!F21+'2.서울지부'!F21+'3.부산지부'!F21</f>
        <v>8457659</v>
      </c>
      <c r="H21" s="443">
        <f t="shared" si="1"/>
        <v>-129941</v>
      </c>
      <c r="I21" s="283">
        <f t="shared" ref="I21:I22" si="7">H21/E21*100%</f>
        <v>-1.5131235735246169E-2</v>
      </c>
      <c r="J21" s="280"/>
    </row>
    <row r="22" spans="1:10" ht="17.25" thickBot="1" x14ac:dyDescent="0.35">
      <c r="A22" s="1407"/>
      <c r="B22" s="1410"/>
      <c r="C22" s="1348" t="s">
        <v>704</v>
      </c>
      <c r="D22" s="1413"/>
      <c r="E22" s="400">
        <f>SUM(E20:E21)</f>
        <v>22452300</v>
      </c>
      <c r="F22" s="400">
        <f t="shared" ref="F22:G22" si="8">SUM(F20:F21)</f>
        <v>22260092</v>
      </c>
      <c r="G22" s="400">
        <f t="shared" si="8"/>
        <v>22324175</v>
      </c>
      <c r="H22" s="444">
        <f t="shared" si="1"/>
        <v>-128125</v>
      </c>
      <c r="I22" s="289">
        <f t="shared" si="7"/>
        <v>-5.7065423141504437E-3</v>
      </c>
      <c r="J22" s="445"/>
    </row>
    <row r="23" spans="1:10" ht="17.25" thickBot="1" x14ac:dyDescent="0.35">
      <c r="A23" s="1408"/>
      <c r="B23" s="1414" t="s">
        <v>707</v>
      </c>
      <c r="C23" s="1415"/>
      <c r="D23" s="1416"/>
      <c r="E23" s="448">
        <f>SUM(E9,E11,E14,E16,E19,E22)</f>
        <v>149823037</v>
      </c>
      <c r="F23" s="448">
        <f>SUM(F9,F11,F14,F16,F19,F22)</f>
        <v>113874233</v>
      </c>
      <c r="G23" s="448">
        <f>G9+G11+G14+G16+G19+G22</f>
        <v>151693057</v>
      </c>
      <c r="H23" s="446">
        <f>G23-E23</f>
        <v>1870020</v>
      </c>
      <c r="I23" s="447">
        <f>H23/E23*100%</f>
        <v>1.2481525120866427E-2</v>
      </c>
      <c r="J23" s="61"/>
    </row>
    <row r="24" spans="1:10" ht="28.15" customHeight="1" thickBot="1" x14ac:dyDescent="0.35">
      <c r="A24" s="1226"/>
      <c r="B24" s="1405" t="s">
        <v>728</v>
      </c>
      <c r="C24" s="1406"/>
      <c r="D24" s="1406"/>
      <c r="E24" s="1406"/>
      <c r="F24" s="1406"/>
      <c r="G24" s="1406"/>
      <c r="H24" s="1406"/>
      <c r="I24" s="1406"/>
      <c r="J24" s="1406"/>
    </row>
    <row r="25" spans="1:10" ht="17.45" customHeight="1" x14ac:dyDescent="0.3">
      <c r="A25" s="1245" t="s">
        <v>126</v>
      </c>
      <c r="B25" s="1314" t="s">
        <v>29</v>
      </c>
      <c r="C25" s="1315"/>
      <c r="D25" s="1315"/>
      <c r="E25" s="1273" t="s">
        <v>237</v>
      </c>
      <c r="F25" s="1273" t="s">
        <v>394</v>
      </c>
      <c r="G25" s="1273" t="s">
        <v>236</v>
      </c>
      <c r="H25" s="1273" t="s">
        <v>59</v>
      </c>
      <c r="I25" s="1275" t="s">
        <v>49</v>
      </c>
      <c r="J25" s="1277" t="s">
        <v>61</v>
      </c>
    </row>
    <row r="26" spans="1:10" ht="18" customHeight="1" thickBot="1" x14ac:dyDescent="0.35">
      <c r="A26" s="1246"/>
      <c r="B26" s="84" t="s">
        <v>0</v>
      </c>
      <c r="C26" s="136" t="s">
        <v>1</v>
      </c>
      <c r="D26" s="136" t="s">
        <v>2</v>
      </c>
      <c r="E26" s="1274"/>
      <c r="F26" s="1274"/>
      <c r="G26" s="1274"/>
      <c r="H26" s="1274"/>
      <c r="I26" s="1276"/>
      <c r="J26" s="1278"/>
    </row>
    <row r="27" spans="1:10" ht="33.6" customHeight="1" x14ac:dyDescent="0.3">
      <c r="A27" s="1345" t="s">
        <v>304</v>
      </c>
      <c r="B27" s="1364" t="s">
        <v>325</v>
      </c>
      <c r="C27" s="1165" t="s">
        <v>327</v>
      </c>
      <c r="D27" s="1165" t="s">
        <v>327</v>
      </c>
      <c r="E27" s="526">
        <f>'4. 서울Y 봉천종합사회복지관'!D13+'5. 강서종합사회복지관(총괄)'!D13+'6.강서구지역자활센터(장기요양사업)'!D13+'8.은학의집(총괄)'!D13+'9.울산씨밀레'!D13</f>
        <v>623832788</v>
      </c>
      <c r="F27" s="526">
        <f>'4. 서울Y 봉천종합사회복지관'!E13+'5. 강서종합사회복지관(총괄)'!E13+'6.강서구지역자활센터(장기요양사업)'!E13+'8.은학의집(총괄)'!E13+'9.울산씨밀레'!E13</f>
        <v>465388398</v>
      </c>
      <c r="G27" s="1088">
        <f>'4. 서울Y 봉천종합사회복지관'!F13+'5. 강서종합사회복지관(총괄)'!F13+'9.울산씨밀레'!F13</f>
        <v>0</v>
      </c>
      <c r="H27" s="1194">
        <f>G27-E27</f>
        <v>-623832788</v>
      </c>
      <c r="I27" s="130">
        <f t="shared" ref="I27:I28" si="9">H27/E27*100%</f>
        <v>-1</v>
      </c>
      <c r="J27" s="1195"/>
    </row>
    <row r="28" spans="1:10" ht="18" customHeight="1" thickBot="1" x14ac:dyDescent="0.35">
      <c r="A28" s="1345"/>
      <c r="B28" s="1365"/>
      <c r="C28" s="1366" t="s">
        <v>465</v>
      </c>
      <c r="D28" s="1367"/>
      <c r="E28" s="1048">
        <f>E27</f>
        <v>623832788</v>
      </c>
      <c r="F28" s="1048">
        <f t="shared" ref="F28:G28" si="10">F27</f>
        <v>465388398</v>
      </c>
      <c r="G28" s="1069">
        <f t="shared" si="10"/>
        <v>0</v>
      </c>
      <c r="H28" s="1065">
        <f>G28-E28</f>
        <v>-623832788</v>
      </c>
      <c r="I28" s="540">
        <f t="shared" si="9"/>
        <v>-1</v>
      </c>
      <c r="J28" s="532"/>
    </row>
    <row r="29" spans="1:10" ht="16.5" customHeight="1" x14ac:dyDescent="0.3">
      <c r="A29" s="1345"/>
      <c r="B29" s="1401" t="s">
        <v>250</v>
      </c>
      <c r="C29" s="942" t="s">
        <v>247</v>
      </c>
      <c r="D29" s="942" t="s">
        <v>3</v>
      </c>
      <c r="E29" s="65">
        <f>'4. 서울Y 봉천종합사회복지관'!D22+'5. 강서종합사회복지관(총괄)'!D22+'6.강서구지역자활센터(장기요양사업)'!D22+'8.은학의집(총괄)'!D22+'9.울산씨밀레'!D22</f>
        <v>425290000</v>
      </c>
      <c r="F29" s="65">
        <f>'4. 서울Y 봉천종합사회복지관'!E22+'5. 강서종합사회복지관(총괄)'!E22+'6.강서구지역자활센터(장기요양사업)'!E22+'8.은학의집(총괄)'!E22+'9.울산씨밀레'!E22</f>
        <v>367015020</v>
      </c>
      <c r="G29" s="65">
        <f>'4. 서울Y 봉천종합사회복지관'!F22+'5. 강서종합사회복지관(총괄)'!F22+'9.울산씨밀레'!F22</f>
        <v>421940500</v>
      </c>
      <c r="H29" s="35">
        <f>G29-E29</f>
        <v>-3349500</v>
      </c>
      <c r="I29" s="130">
        <f>H29/E29*100%</f>
        <v>-7.8758023936607961E-3</v>
      </c>
      <c r="J29" s="37"/>
    </row>
    <row r="30" spans="1:10" ht="18" customHeight="1" thickBot="1" x14ac:dyDescent="0.35">
      <c r="A30" s="1345"/>
      <c r="B30" s="1402"/>
      <c r="C30" s="1403" t="s">
        <v>39</v>
      </c>
      <c r="D30" s="1404"/>
      <c r="E30" s="601">
        <f>E29</f>
        <v>425290000</v>
      </c>
      <c r="F30" s="520">
        <f t="shared" ref="F30:G30" si="11">F29</f>
        <v>367015020</v>
      </c>
      <c r="G30" s="520">
        <f t="shared" si="11"/>
        <v>421940500</v>
      </c>
      <c r="H30" s="910">
        <f t="shared" ref="H30:H57" si="12">G30-E30</f>
        <v>-3349500</v>
      </c>
      <c r="I30" s="656">
        <f>H30/E30*100%</f>
        <v>-7.8758023936607961E-3</v>
      </c>
      <c r="J30" s="41"/>
    </row>
    <row r="31" spans="1:10" ht="17.45" customHeight="1" x14ac:dyDescent="0.3">
      <c r="A31" s="1345"/>
      <c r="B31" s="1371" t="s">
        <v>251</v>
      </c>
      <c r="C31" s="1308" t="s">
        <v>248</v>
      </c>
      <c r="D31" s="938" t="s">
        <v>113</v>
      </c>
      <c r="E31" s="221">
        <f>'4. 서울Y 봉천종합사회복지관'!D23+'5. 강서종합사회복지관(총괄)'!D23+'6.강서구지역자활센터(장기요양사업)'!D23+'8.은학의집(총괄)'!D23+'9.울산씨밀레'!D23</f>
        <v>344353000</v>
      </c>
      <c r="F31" s="221">
        <f>'4. 서울Y 봉천종합사회복지관'!E23+'5. 강서종합사회복지관(총괄)'!E23+'6.강서구지역자활센터(장기요양사업)'!E23+'8.은학의집(총괄)'!E23+'9.울산씨밀레'!E23</f>
        <v>327027380</v>
      </c>
      <c r="G31" s="221">
        <f>'4. 서울Y 봉천종합사회복지관'!F23+'5. 강서종합사회복지관(총괄)'!F23+'9.울산씨밀레'!F23</f>
        <v>329028000</v>
      </c>
      <c r="H31" s="907">
        <f t="shared" si="12"/>
        <v>-15325000</v>
      </c>
      <c r="I31" s="744">
        <f>H31/E31*100%</f>
        <v>-4.4503750511829428E-2</v>
      </c>
      <c r="J31" s="79"/>
    </row>
    <row r="32" spans="1:10" ht="17.45" customHeight="1" x14ac:dyDescent="0.3">
      <c r="A32" s="1345"/>
      <c r="B32" s="1372"/>
      <c r="C32" s="1309"/>
      <c r="D32" s="937" t="s">
        <v>63</v>
      </c>
      <c r="E32" s="221">
        <f>'4. 서울Y 봉천종합사회복지관'!D24+'5. 강서종합사회복지관(총괄)'!D24+'6.강서구지역자활센터(장기요양사업)'!D24+'8.은학의집(총괄)'!D24+'9.울산씨밀레'!D24</f>
        <v>2765581580</v>
      </c>
      <c r="F32" s="221">
        <f>'4. 서울Y 봉천종합사회복지관'!E24+'5. 강서종합사회복지관(총괄)'!E24+'6.강서구지역자활센터(장기요양사업)'!E24+'8.은학의집(총괄)'!E24+'9.울산씨밀레'!E24</f>
        <v>2660250620</v>
      </c>
      <c r="G32" s="221">
        <f>'4. 서울Y 봉천종합사회복지관'!F24+'5. 강서종합사회복지관(총괄)'!F24+'9.울산씨밀레'!F24</f>
        <v>2705564660</v>
      </c>
      <c r="H32" s="600">
        <f t="shared" si="12"/>
        <v>-60016920</v>
      </c>
      <c r="I32" s="669">
        <f t="shared" ref="I32:I35" si="13">H32/E32*100%</f>
        <v>-2.1701373929457542E-2</v>
      </c>
      <c r="J32" s="80"/>
    </row>
    <row r="33" spans="1:10" ht="17.45" customHeight="1" x14ac:dyDescent="0.3">
      <c r="A33" s="1345"/>
      <c r="B33" s="1372"/>
      <c r="C33" s="1309"/>
      <c r="D33" s="937" t="s">
        <v>30</v>
      </c>
      <c r="E33" s="221">
        <f>'4. 서울Y 봉천종합사회복지관'!D25+'5. 강서종합사회복지관(총괄)'!D25+'6.강서구지역자활센터(장기요양사업)'!D25+'8.은학의집(총괄)'!D25+'9.울산씨밀레'!D25</f>
        <v>474744480</v>
      </c>
      <c r="F33" s="221">
        <f>'4. 서울Y 봉천종합사회복지관'!E25+'5. 강서종합사회복지관(총괄)'!E25+'6.강서구지역자활센터(장기요양사업)'!E25+'8.은학의집(총괄)'!E25+'9.울산씨밀레'!E25</f>
        <v>525713330</v>
      </c>
      <c r="G33" s="221">
        <f>'4. 서울Y 봉천종합사회복지관'!F25+'5. 강서종합사회복지관(총괄)'!F25+'9.울산씨밀레'!F25</f>
        <v>525566000</v>
      </c>
      <c r="H33" s="600">
        <f t="shared" si="12"/>
        <v>50821520</v>
      </c>
      <c r="I33" s="669">
        <f t="shared" si="13"/>
        <v>0.10705025996300158</v>
      </c>
      <c r="J33" s="80"/>
    </row>
    <row r="34" spans="1:10" ht="17.45" customHeight="1" x14ac:dyDescent="0.3">
      <c r="A34" s="1345"/>
      <c r="B34" s="1372"/>
      <c r="C34" s="1288"/>
      <c r="D34" s="937" t="s">
        <v>64</v>
      </c>
      <c r="E34" s="221">
        <f>'4. 서울Y 봉천종합사회복지관'!D26+'5. 강서종합사회복지관(총괄)'!D26+'6.강서구지역자활센터(장기요양사업)'!D26+'8.은학의집(총괄)'!D26+'9.울산씨밀레'!D26</f>
        <v>569644000</v>
      </c>
      <c r="F34" s="221">
        <f>'4. 서울Y 봉천종합사회복지관'!E26+'5. 강서종합사회복지관(총괄)'!E26+'6.강서구지역자활센터(장기요양사업)'!E26+'8.은학의집(총괄)'!E26+'9.울산씨밀레'!E26</f>
        <v>559336304</v>
      </c>
      <c r="G34" s="221">
        <f>'4. 서울Y 봉천종합사회복지관'!F26+'5. 강서종합사회복지관(총괄)'!F26+'9.울산씨밀레'!F26</f>
        <v>86210000</v>
      </c>
      <c r="H34" s="600">
        <f t="shared" si="12"/>
        <v>-483434000</v>
      </c>
      <c r="I34" s="669">
        <f t="shared" si="13"/>
        <v>-0.8486598647576381</v>
      </c>
      <c r="J34" s="80"/>
    </row>
    <row r="35" spans="1:10" ht="18" customHeight="1" thickBot="1" x14ac:dyDescent="0.35">
      <c r="A35" s="1345"/>
      <c r="B35" s="1373"/>
      <c r="C35" s="1368" t="s">
        <v>465</v>
      </c>
      <c r="D35" s="1394"/>
      <c r="E35" s="743">
        <f>SUM(E31:E34)</f>
        <v>4154323060</v>
      </c>
      <c r="F35" s="743">
        <f t="shared" ref="F35" si="14">SUM(F31:F34)</f>
        <v>4072327634</v>
      </c>
      <c r="G35" s="743">
        <f>SUM(G31:G34)</f>
        <v>3646368660</v>
      </c>
      <c r="H35" s="749">
        <f t="shared" si="12"/>
        <v>-507954400</v>
      </c>
      <c r="I35" s="670">
        <f t="shared" si="13"/>
        <v>-0.12227128046223733</v>
      </c>
      <c r="J35" s="81"/>
    </row>
    <row r="36" spans="1:10" ht="17.45" customHeight="1" x14ac:dyDescent="0.3">
      <c r="A36" s="1345"/>
      <c r="B36" s="1395" t="s">
        <v>252</v>
      </c>
      <c r="C36" s="1323" t="s">
        <v>161</v>
      </c>
      <c r="D36" s="452" t="s">
        <v>6</v>
      </c>
      <c r="E36" s="71">
        <f>'4. 서울Y 봉천종합사회복지관'!D28+'5. 강서종합사회복지관(총괄)'!D28+'6.강서구지역자활센터(장기요양사업)'!D28+'8.은학의집(총괄)'!D28+'9.울산씨밀레'!D28</f>
        <v>375253700</v>
      </c>
      <c r="F36" s="71">
        <f>'4. 서울Y 봉천종합사회복지관'!E28+'5. 강서종합사회복지관(총괄)'!E28+'6.강서구지역자활센터(장기요양사업)'!E28+'8.은학의집(총괄)'!E28+'9.울산씨밀레'!E28</f>
        <v>324520998</v>
      </c>
      <c r="G36" s="450">
        <f>'4. 서울Y 봉천종합사회복지관'!F28+'5. 강서종합사회복지관(총괄)'!F28+'9.울산씨밀레'!F28</f>
        <v>355694700</v>
      </c>
      <c r="H36" s="43">
        <f t="shared" si="12"/>
        <v>-19559000</v>
      </c>
      <c r="I36" s="453">
        <f>H36/E36*100%</f>
        <v>-5.2122071014889394E-2</v>
      </c>
      <c r="J36" s="454"/>
    </row>
    <row r="37" spans="1:10" ht="17.45" customHeight="1" x14ac:dyDescent="0.3">
      <c r="A37" s="1345"/>
      <c r="B37" s="1326"/>
      <c r="C37" s="1289"/>
      <c r="D37" s="148" t="s">
        <v>7</v>
      </c>
      <c r="E37" s="885">
        <f>'4. 서울Y 봉천종합사회복지관'!D29+'5. 강서종합사회복지관(총괄)'!D29+'6.강서구지역자활센터(장기요양사업)'!D29+'8.은학의집(총괄)'!D29+'9.울산씨밀레'!D29</f>
        <v>292553775</v>
      </c>
      <c r="F37" s="885">
        <f>'4. 서울Y 봉천종합사회복지관'!E29+'5. 강서종합사회복지관(총괄)'!E29+'6.강서구지역자활센터(장기요양사업)'!E29+'8.은학의집(총괄)'!E29+'9.울산씨밀레'!E29</f>
        <v>238813157</v>
      </c>
      <c r="G37" s="1045">
        <f>'4. 서울Y 봉천종합사회복지관'!F29+'5. 강서종합사회복지관(총괄)'!F29+'9.울산씨밀레'!F29</f>
        <v>190953775</v>
      </c>
      <c r="H37" s="77">
        <f t="shared" si="12"/>
        <v>-101600000</v>
      </c>
      <c r="I37" s="130">
        <f>H37/E37*100%</f>
        <v>-0.34728658004840307</v>
      </c>
      <c r="J37" s="37"/>
    </row>
    <row r="38" spans="1:10" ht="18" customHeight="1" thickBot="1" x14ac:dyDescent="0.35">
      <c r="A38" s="1345"/>
      <c r="B38" s="1327"/>
      <c r="C38" s="1374" t="s">
        <v>465</v>
      </c>
      <c r="D38" s="1374"/>
      <c r="E38" s="539">
        <f>SUM(E36:E37)</f>
        <v>667807475</v>
      </c>
      <c r="F38" s="539">
        <f t="shared" ref="F38:G38" si="15">SUM(F36:F37)</f>
        <v>563334155</v>
      </c>
      <c r="G38" s="539">
        <f t="shared" si="15"/>
        <v>546648475</v>
      </c>
      <c r="H38" s="1066">
        <f>G38-E38</f>
        <v>-121159000</v>
      </c>
      <c r="I38" s="540">
        <f>H38/E38*100%</f>
        <v>-0.18142803807339833</v>
      </c>
      <c r="J38" s="42"/>
    </row>
    <row r="39" spans="1:10" ht="17.45" customHeight="1" x14ac:dyDescent="0.3">
      <c r="A39" s="1345"/>
      <c r="B39" s="1370" t="s">
        <v>323</v>
      </c>
      <c r="C39" s="1308" t="s">
        <v>163</v>
      </c>
      <c r="D39" s="938" t="s">
        <v>154</v>
      </c>
      <c r="E39" s="885">
        <f>'6.강서구지역자활센터(장기요양사업)'!D31+'8.은학의집(총괄)'!D31</f>
        <v>2703817480</v>
      </c>
      <c r="F39" s="885">
        <f>'6.강서구지역자활센터(장기요양사업)'!E31+'8.은학의집(총괄)'!E31</f>
        <v>2268905740</v>
      </c>
      <c r="G39" s="885">
        <f>'4. 서울Y 봉천종합사회복지관'!F31+'5. 강서종합사회복지관(총괄)'!F31+'9.울산씨밀레'!F31</f>
        <v>0</v>
      </c>
      <c r="H39" s="221">
        <f>G39-E39</f>
        <v>-2703817480</v>
      </c>
      <c r="I39" s="455">
        <f t="shared" ref="I39:I41" si="16">H39/E39*100%</f>
        <v>-1</v>
      </c>
      <c r="J39" s="240"/>
    </row>
    <row r="40" spans="1:10" ht="17.45" customHeight="1" x14ac:dyDescent="0.3">
      <c r="A40" s="1345"/>
      <c r="B40" s="1364"/>
      <c r="C40" s="1288"/>
      <c r="D40" s="937" t="s">
        <v>155</v>
      </c>
      <c r="E40" s="885">
        <f>'6.강서구지역자활센터(장기요양사업)'!D32+'8.은학의집(총괄)'!D32</f>
        <v>394224000</v>
      </c>
      <c r="F40" s="885">
        <f>'6.강서구지역자활센터(장기요양사업)'!E32+'8.은학의집(총괄)'!E32</f>
        <v>345237840</v>
      </c>
      <c r="G40" s="885">
        <f>'4. 서울Y 봉천종합사회복지관'!F32+'5. 강서종합사회복지관(총괄)'!F32+'9.울산씨밀레'!F32</f>
        <v>0</v>
      </c>
      <c r="H40" s="221">
        <f t="shared" ref="H40" si="17">G40-E40</f>
        <v>-394224000</v>
      </c>
      <c r="I40" s="218">
        <f t="shared" si="16"/>
        <v>-1</v>
      </c>
      <c r="J40" s="83"/>
    </row>
    <row r="41" spans="1:10" ht="18" customHeight="1" thickBot="1" x14ac:dyDescent="0.35">
      <c r="A41" s="1345"/>
      <c r="B41" s="1325"/>
      <c r="C41" s="1374" t="s">
        <v>465</v>
      </c>
      <c r="D41" s="1374"/>
      <c r="E41" s="887">
        <f>SUM(E39:E40)</f>
        <v>3098041480</v>
      </c>
      <c r="F41" s="887">
        <f t="shared" ref="F41:G41" si="18">SUM(F39:F40)</f>
        <v>2614143580</v>
      </c>
      <c r="G41" s="887">
        <f t="shared" si="18"/>
        <v>0</v>
      </c>
      <c r="H41" s="743">
        <f>G41-E41</f>
        <v>-3098041480</v>
      </c>
      <c r="I41" s="745">
        <f t="shared" si="16"/>
        <v>-1</v>
      </c>
      <c r="J41" s="81"/>
    </row>
    <row r="42" spans="1:10" ht="17.45" customHeight="1" x14ac:dyDescent="0.3">
      <c r="A42" s="1345"/>
      <c r="B42" s="1303" t="s">
        <v>4</v>
      </c>
      <c r="C42" s="1309" t="s">
        <v>249</v>
      </c>
      <c r="D42" s="942" t="s">
        <v>31</v>
      </c>
      <c r="E42" s="885">
        <f>'4. 서울Y 봉천종합사회복지관'!D34+'5. 강서종합사회복지관(총괄)'!D34</f>
        <v>12000000</v>
      </c>
      <c r="F42" s="885">
        <f>'4. 서울Y 봉천종합사회복지관'!E34+'5. 강서종합사회복지관(총괄)'!E34</f>
        <v>3000000</v>
      </c>
      <c r="G42" s="885">
        <f>'4. 서울Y 봉천종합사회복지관'!F34+'5. 강서종합사회복지관(총괄)'!F34</f>
        <v>10500000</v>
      </c>
      <c r="H42" s="221">
        <f t="shared" si="12"/>
        <v>-1500000</v>
      </c>
      <c r="I42" s="451">
        <f>H42/E42*100%</f>
        <v>-0.125</v>
      </c>
      <c r="J42" s="687"/>
    </row>
    <row r="43" spans="1:10" ht="17.45" customHeight="1" x14ac:dyDescent="0.3">
      <c r="A43" s="1345"/>
      <c r="B43" s="1303"/>
      <c r="C43" s="1309"/>
      <c r="D43" s="943" t="s">
        <v>184</v>
      </c>
      <c r="E43" s="885">
        <f>'4. 서울Y 봉천종합사회복지관'!D35+'5. 강서종합사회복지관(총괄)'!D35</f>
        <v>10000005</v>
      </c>
      <c r="F43" s="885">
        <f>'4. 서울Y 봉천종합사회복지관'!E35+'5. 강서종합사회복지관(총괄)'!E35+'6.강서구지역자활센터(장기요양사업)'!E35+'8.은학의집(총괄)'!E35+'9.울산씨밀레'!E35</f>
        <v>10000005</v>
      </c>
      <c r="G43" s="885">
        <f>'4. 서울Y 봉천종합사회복지관'!F35+'5. 강서종합사회복지관(총괄)'!F35</f>
        <v>10000005</v>
      </c>
      <c r="H43" s="885">
        <f t="shared" si="12"/>
        <v>0</v>
      </c>
      <c r="I43" s="451">
        <f t="shared" ref="I43:I44" si="19">H43/E43*100%</f>
        <v>0</v>
      </c>
      <c r="J43" s="1193"/>
    </row>
    <row r="44" spans="1:10" ht="17.45" customHeight="1" x14ac:dyDescent="0.3">
      <c r="A44" s="1345"/>
      <c r="B44" s="1303"/>
      <c r="C44" s="1288"/>
      <c r="D44" s="943" t="s">
        <v>357</v>
      </c>
      <c r="E44" s="885">
        <f>'8.은학의집(총괄)'!D36</f>
        <v>10000000</v>
      </c>
      <c r="F44" s="885">
        <f>'8.은학의집(총괄)'!E36</f>
        <v>0</v>
      </c>
      <c r="G44" s="885">
        <f>'4. 서울Y 봉천종합사회복지관'!F36+'5. 강서종합사회복지관(총괄)'!F36</f>
        <v>0</v>
      </c>
      <c r="H44" s="221">
        <f t="shared" si="12"/>
        <v>-10000000</v>
      </c>
      <c r="I44" s="451">
        <f t="shared" si="19"/>
        <v>-1</v>
      </c>
      <c r="J44" s="83"/>
    </row>
    <row r="45" spans="1:10" ht="18" customHeight="1" thickBot="1" x14ac:dyDescent="0.35">
      <c r="A45" s="1345"/>
      <c r="B45" s="1304"/>
      <c r="C45" s="1399" t="s">
        <v>657</v>
      </c>
      <c r="D45" s="1400"/>
      <c r="E45" s="629">
        <f>SUM(E42:E44)</f>
        <v>32000005</v>
      </c>
      <c r="F45" s="629">
        <f>SUM(F42:F44)</f>
        <v>13000005</v>
      </c>
      <c r="G45" s="629">
        <f>SUM(G42:G44)</f>
        <v>20500005</v>
      </c>
      <c r="H45" s="1041">
        <f t="shared" si="12"/>
        <v>-11500000</v>
      </c>
      <c r="I45" s="746">
        <f t="shared" ref="I45" si="20">H45/E45*100%</f>
        <v>-0.35937494384766505</v>
      </c>
      <c r="J45" s="42"/>
    </row>
    <row r="46" spans="1:10" ht="17.45" customHeight="1" x14ac:dyDescent="0.3">
      <c r="A46" s="1345"/>
      <c r="B46" s="1302" t="s">
        <v>170</v>
      </c>
      <c r="C46" s="1308" t="s">
        <v>253</v>
      </c>
      <c r="D46" s="149" t="s">
        <v>9</v>
      </c>
      <c r="E46" s="71">
        <f>'4. 서울Y 봉천종합사회복지관'!D38+'5. 강서종합사회복지관(총괄)'!D38+'6.강서구지역자활센터(장기요양사업)'!D38+'8.은학의집(총괄)'!D38+'9.울산씨밀레'!D38</f>
        <v>1373340767</v>
      </c>
      <c r="F46" s="71">
        <f>'4. 서울Y 봉천종합사회복지관'!E38+'5. 강서종합사회복지관(총괄)'!E38+'6.강서구지역자활센터(장기요양사업)'!E38+'8.은학의집(총괄)'!E38+'9.울산씨밀레'!E38</f>
        <v>1398077280</v>
      </c>
      <c r="G46" s="450">
        <f>'4. 서울Y 봉천종합사회복지관'!F38+'5. 강서종합사회복지관(총괄)'!F38+'9.울산씨밀레'!F38</f>
        <v>165580061</v>
      </c>
      <c r="H46" s="748">
        <f t="shared" si="12"/>
        <v>-1207760706</v>
      </c>
      <c r="I46" s="130">
        <f t="shared" ref="I46:I52" si="21">H46/E46*100%</f>
        <v>-0.8794326470321695</v>
      </c>
      <c r="J46" s="74"/>
    </row>
    <row r="47" spans="1:10" x14ac:dyDescent="0.3">
      <c r="A47" s="1345"/>
      <c r="B47" s="1303"/>
      <c r="C47" s="1288"/>
      <c r="D47" s="943" t="s">
        <v>174</v>
      </c>
      <c r="E47" s="885">
        <f>'4. 서울Y 봉천종합사회복지관'!D39+'5. 강서종합사회복지관(총괄)'!D39+'6.강서구지역자활센터(장기요양사업)'!D39+'8.은학의집(총괄)'!D39+'9.울산씨밀레'!D39</f>
        <v>484813456</v>
      </c>
      <c r="F47" s="885">
        <f>'4. 서울Y 봉천종합사회복지관'!E39+'5. 강서종합사회복지관(총괄)'!E39+'6.강서구지역자활센터(장기요양사업)'!E39+'8.은학의집(총괄)'!E39+'9.울산씨밀레'!E39</f>
        <v>501094679</v>
      </c>
      <c r="G47" s="703">
        <f>'4. 서울Y 봉천종합사회복지관'!F39+'5. 강서종합사회복지관(총괄)'!F39+'9.울산씨밀레'!F39</f>
        <v>384052125</v>
      </c>
      <c r="H47" s="35">
        <f t="shared" si="12"/>
        <v>-100761331</v>
      </c>
      <c r="I47" s="130">
        <f t="shared" si="21"/>
        <v>-0.20783526066157701</v>
      </c>
      <c r="J47" s="38"/>
    </row>
    <row r="48" spans="1:10" ht="18" customHeight="1" thickBot="1" x14ac:dyDescent="0.35">
      <c r="A48" s="1345"/>
      <c r="B48" s="1304"/>
      <c r="C48" s="1312" t="s">
        <v>465</v>
      </c>
      <c r="D48" s="1313"/>
      <c r="E48" s="539">
        <f>SUM(E46:E47)</f>
        <v>1858154223</v>
      </c>
      <c r="F48" s="611">
        <f t="shared" ref="F48" si="22">SUM(F46:F47)</f>
        <v>1899171959</v>
      </c>
      <c r="G48" s="1070">
        <f>'4. 서울Y 봉천종합사회복지관'!F40+'5. 강서종합사회복지관(총괄)'!F40+'9.울산씨밀레'!F40</f>
        <v>549632186</v>
      </c>
      <c r="H48" s="605">
        <f t="shared" si="12"/>
        <v>-1308522037</v>
      </c>
      <c r="I48" s="572">
        <f t="shared" si="21"/>
        <v>-0.70420529189842174</v>
      </c>
      <c r="J48" s="42"/>
    </row>
    <row r="49" spans="1:10" ht="17.45" customHeight="1" x14ac:dyDescent="0.3">
      <c r="A49" s="1345"/>
      <c r="B49" s="1302" t="s">
        <v>172</v>
      </c>
      <c r="C49" s="1323" t="s">
        <v>246</v>
      </c>
      <c r="D49" s="938" t="s">
        <v>345</v>
      </c>
      <c r="E49" s="71">
        <f>'4. 서울Y 봉천종합사회복지관'!D41+'5. 강서종합사회복지관(총괄)'!D41+'6.강서구지역자활센터(장기요양사업)'!D41+'8.은학의집(총괄)'!D41+'9.울산씨밀레'!D41</f>
        <v>6200000</v>
      </c>
      <c r="F49" s="71">
        <f>'4. 서울Y 봉천종합사회복지관'!E41+'5. 강서종합사회복지관(총괄)'!E41+'6.강서구지역자활센터(장기요양사업)'!E41+'8.은학의집(총괄)'!E41+'9.울산씨밀레'!E41</f>
        <v>6200000</v>
      </c>
      <c r="G49" s="71">
        <f>'4. 서울Y 봉천종합사회복지관'!F41+'5. 강서종합사회복지관(총괄)'!F41+'9.울산씨밀레'!F41</f>
        <v>6200000</v>
      </c>
      <c r="H49" s="738">
        <f t="shared" si="12"/>
        <v>0</v>
      </c>
      <c r="I49" s="455"/>
      <c r="J49" s="79"/>
    </row>
    <row r="50" spans="1:10" ht="17.45" customHeight="1" x14ac:dyDescent="0.3">
      <c r="A50" s="1345"/>
      <c r="B50" s="1303"/>
      <c r="C50" s="1288"/>
      <c r="D50" s="936" t="s">
        <v>344</v>
      </c>
      <c r="E50" s="884">
        <f>'4. 서울Y 봉천종합사회복지관'!D42+'5. 강서종합사회복지관(총괄)'!D42+'6.강서구지역자활센터(장기요양사업)'!D42+'8.은학의집(총괄)'!D42+'9.울산씨밀레'!D42</f>
        <v>2302322</v>
      </c>
      <c r="F50" s="884">
        <f>'4. 서울Y 봉천종합사회복지관'!E42+'5. 강서종합사회복지관(총괄)'!E42+'6.강서구지역자활센터(장기요양사업)'!E42+'8.은학의집(총괄)'!E42+'9.울산씨밀레'!E42</f>
        <v>888809</v>
      </c>
      <c r="G50" s="884">
        <f>'4. 서울Y 봉천종합사회복지관'!F42+'5. 강서종합사회복지관(총괄)'!F42+'9.울산씨밀레'!F42</f>
        <v>674820</v>
      </c>
      <c r="H50" s="1067">
        <f t="shared" si="12"/>
        <v>-1627502</v>
      </c>
      <c r="I50" s="218">
        <f t="shared" si="21"/>
        <v>-0.70689590769666455</v>
      </c>
      <c r="J50" s="240"/>
    </row>
    <row r="51" spans="1:10" ht="17.45" customHeight="1" x14ac:dyDescent="0.3">
      <c r="A51" s="1345"/>
      <c r="B51" s="1303"/>
      <c r="C51" s="1288"/>
      <c r="D51" s="937" t="s">
        <v>175</v>
      </c>
      <c r="E51" s="884">
        <f>'4. 서울Y 봉천종합사회복지관'!D43+'5. 강서종합사회복지관(총괄)'!D43+'6.강서구지역자활센터(장기요양사업)'!D43+'8.은학의집(총괄)'!D43+'9.울산씨밀레'!D43</f>
        <v>33600000</v>
      </c>
      <c r="F51" s="884">
        <f>'4. 서울Y 봉천종합사회복지관'!E43+'5. 강서종합사회복지관(총괄)'!E43+'6.강서구지역자활센터(장기요양사업)'!E43+'8.은학의집(총괄)'!E43+'9.울산씨밀레'!E43</f>
        <v>29990000</v>
      </c>
      <c r="G51" s="884">
        <f>'4. 서울Y 봉천종합사회복지관'!F43+'5. 강서종합사회복지관(총괄)'!F43+'9.울산씨밀레'!F43</f>
        <v>0</v>
      </c>
      <c r="H51" s="212">
        <f t="shared" si="12"/>
        <v>-33600000</v>
      </c>
      <c r="I51" s="222">
        <f t="shared" si="21"/>
        <v>-1</v>
      </c>
      <c r="J51" s="240"/>
    </row>
    <row r="52" spans="1:10" ht="17.45" customHeight="1" x14ac:dyDescent="0.3">
      <c r="A52" s="1345"/>
      <c r="B52" s="1303"/>
      <c r="C52" s="1289"/>
      <c r="D52" s="937" t="s">
        <v>10</v>
      </c>
      <c r="E52" s="884">
        <f>'4. 서울Y 봉천종합사회복지관'!D44+'5. 강서종합사회복지관(총괄)'!D44+'6.강서구지역자활센터(장기요양사업)'!D44+'8.은학의집(총괄)'!D44+'9.울산씨밀레'!D44</f>
        <v>56387301</v>
      </c>
      <c r="F52" s="885">
        <f>'4. 서울Y 봉천종합사회복지관'!E44+'5. 강서종합사회복지관(총괄)'!E44+'6.강서구지역자활센터(장기요양사업)'!E44+'8.은학의집(총괄)'!E44+'9.울산씨밀레'!E44</f>
        <v>49429439</v>
      </c>
      <c r="G52" s="885">
        <f>'4. 서울Y 봉천종합사회복지관'!F44+'5. 강서종합사회복지관(총괄)'!F44+'9.울산씨밀레'!F44</f>
        <v>38085294</v>
      </c>
      <c r="H52" s="807">
        <f t="shared" si="12"/>
        <v>-18302007</v>
      </c>
      <c r="I52" s="218">
        <f t="shared" si="21"/>
        <v>-0.32457675177607809</v>
      </c>
      <c r="J52" s="80"/>
    </row>
    <row r="53" spans="1:10" ht="17.45" customHeight="1" thickBot="1" x14ac:dyDescent="0.35">
      <c r="A53" s="1345"/>
      <c r="B53" s="1304"/>
      <c r="C53" s="1368" t="s">
        <v>658</v>
      </c>
      <c r="D53" s="1369"/>
      <c r="E53" s="887">
        <f>SUM(E49:E52)</f>
        <v>98489623</v>
      </c>
      <c r="F53" s="887">
        <f t="shared" ref="F53" si="23">SUM(F49:F52)</f>
        <v>86508248</v>
      </c>
      <c r="G53" s="887">
        <f>SUM(G49:G52)</f>
        <v>44960114</v>
      </c>
      <c r="H53" s="1068">
        <f t="shared" si="12"/>
        <v>-53529509</v>
      </c>
      <c r="I53" s="653">
        <f t="shared" ref="I53:I55" si="24">H53/E53*100%</f>
        <v>-0.54350405016780301</v>
      </c>
      <c r="J53" s="299"/>
    </row>
    <row r="54" spans="1:10" ht="17.45" customHeight="1" x14ac:dyDescent="0.3">
      <c r="A54" s="1345"/>
      <c r="B54" s="1370" t="s">
        <v>328</v>
      </c>
      <c r="C54" s="1289" t="s">
        <v>177</v>
      </c>
      <c r="D54" s="937" t="s">
        <v>178</v>
      </c>
      <c r="E54" s="885">
        <f>'4. 서울Y 봉천종합사회복지관'!D46+'5. 강서종합사회복지관(총괄)'!D46+'6.강서구지역자활센터(장기요양사업)'!D46+'8.은학의집(총괄)'!D46+'9.울산씨밀레'!D46</f>
        <v>24000000</v>
      </c>
      <c r="F54" s="885">
        <f>'4. 서울Y 봉천종합사회복지관'!E46+'5. 강서종합사회복지관(총괄)'!E46+'6.강서구지역자활센터(장기요양사업)'!E46+'8.은학의집(총괄)'!E46+'9.울산씨밀레'!E46</f>
        <v>22000000</v>
      </c>
      <c r="G54" s="885">
        <f>'4. 서울Y 봉천종합사회복지관'!F46+'5. 강서종합사회복지관(총괄)'!F46+'9.울산씨밀레'!F46</f>
        <v>0</v>
      </c>
      <c r="H54" s="567">
        <f>G54-E54</f>
        <v>-24000000</v>
      </c>
      <c r="I54" s="222">
        <f t="shared" si="24"/>
        <v>-1</v>
      </c>
      <c r="J54" s="461"/>
    </row>
    <row r="55" spans="1:10" ht="36.6" customHeight="1" x14ac:dyDescent="0.3">
      <c r="A55" s="1345"/>
      <c r="B55" s="1364"/>
      <c r="C55" s="1289"/>
      <c r="D55" s="937" t="s">
        <v>179</v>
      </c>
      <c r="E55" s="885">
        <f>'4. 서울Y 봉천종합사회복지관'!D47+'5. 강서종합사회복지관(총괄)'!D47+'6.강서구지역자활센터(장기요양사업)'!D47+'8.은학의집(총괄)'!D47+'9.울산씨밀레'!D47</f>
        <v>24000000</v>
      </c>
      <c r="F55" s="885">
        <f>'4. 서울Y 봉천종합사회복지관'!E47+'5. 강서종합사회복지관(총괄)'!E47+'6.강서구지역자활센터(장기요양사업)'!E47+'8.은학의집(총괄)'!E47+'9.울산씨밀레'!E47</f>
        <v>22000000</v>
      </c>
      <c r="G55" s="885">
        <f>'4. 서울Y 봉천종합사회복지관'!F47+'5. 강서종합사회복지관(총괄)'!F47+'9.울산씨밀레'!F47</f>
        <v>0</v>
      </c>
      <c r="H55" s="567">
        <f t="shared" ref="H55:H56" si="25">G55-E55</f>
        <v>-24000000</v>
      </c>
      <c r="I55" s="218">
        <f t="shared" si="24"/>
        <v>-1</v>
      </c>
      <c r="J55" s="458"/>
    </row>
    <row r="56" spans="1:10" ht="18" customHeight="1" thickBot="1" x14ac:dyDescent="0.35">
      <c r="A56" s="1345"/>
      <c r="B56" s="1365"/>
      <c r="C56" s="1390" t="s">
        <v>465</v>
      </c>
      <c r="D56" s="1390"/>
      <c r="E56" s="747">
        <f>SUM(E54:E55)</f>
        <v>48000000</v>
      </c>
      <c r="F56" s="747">
        <f t="shared" ref="F56:G56" si="26">SUM(F54:F55)</f>
        <v>44000000</v>
      </c>
      <c r="G56" s="747">
        <f t="shared" si="26"/>
        <v>0</v>
      </c>
      <c r="H56" s="547">
        <f t="shared" si="25"/>
        <v>-48000000</v>
      </c>
      <c r="I56" s="653">
        <f>H56/E56*100%</f>
        <v>-1</v>
      </c>
      <c r="J56" s="135"/>
    </row>
    <row r="57" spans="1:10" ht="18" customHeight="1" thickBot="1" x14ac:dyDescent="0.35">
      <c r="A57" s="1346"/>
      <c r="B57" s="1391" t="s">
        <v>666</v>
      </c>
      <c r="C57" s="1392"/>
      <c r="D57" s="1393"/>
      <c r="E57" s="302">
        <f>SUM(E28,E30,E35,E38,E41,E45,E48,E53,E56)</f>
        <v>11005938654</v>
      </c>
      <c r="F57" s="302">
        <f t="shared" ref="F57" si="27">SUM(F28,F30,F35,F38,F41,F45,F48,F53,F56)</f>
        <v>10124888999</v>
      </c>
      <c r="G57" s="302">
        <f>SUM(G28,G30,G35,G38,G41,G45,G48,G53,G56)</f>
        <v>5230049940</v>
      </c>
      <c r="H57" s="606">
        <f t="shared" si="12"/>
        <v>-5775888714</v>
      </c>
      <c r="I57" s="742">
        <f>H57/E57*100%</f>
        <v>-0.5247974657664306</v>
      </c>
      <c r="J57" s="78"/>
    </row>
    <row r="58" spans="1:10" ht="20.25" thickBot="1" x14ac:dyDescent="0.35">
      <c r="B58" s="1340" t="s">
        <v>730</v>
      </c>
      <c r="C58" s="1340"/>
      <c r="D58" s="1340"/>
      <c r="E58" s="1340"/>
      <c r="F58" s="1340"/>
      <c r="G58" s="1340"/>
      <c r="H58" s="1340"/>
      <c r="I58" s="1340"/>
      <c r="J58" s="1340"/>
    </row>
    <row r="59" spans="1:10" ht="17.45" customHeight="1" x14ac:dyDescent="0.3">
      <c r="A59" s="1245" t="s">
        <v>126</v>
      </c>
      <c r="B59" s="1314" t="s">
        <v>29</v>
      </c>
      <c r="C59" s="1315"/>
      <c r="D59" s="1315"/>
      <c r="E59" s="1273" t="s">
        <v>237</v>
      </c>
      <c r="F59" s="1273" t="s">
        <v>722</v>
      </c>
      <c r="G59" s="1273" t="s">
        <v>236</v>
      </c>
      <c r="H59" s="1273" t="s">
        <v>59</v>
      </c>
      <c r="I59" s="1275" t="s">
        <v>49</v>
      </c>
      <c r="J59" s="1277" t="s">
        <v>61</v>
      </c>
    </row>
    <row r="60" spans="1:10" ht="18" customHeight="1" thickBot="1" x14ac:dyDescent="0.35">
      <c r="A60" s="1246"/>
      <c r="B60" s="84" t="s">
        <v>0</v>
      </c>
      <c r="C60" s="136" t="s">
        <v>1</v>
      </c>
      <c r="D60" s="136" t="s">
        <v>2</v>
      </c>
      <c r="E60" s="1274"/>
      <c r="F60" s="1274"/>
      <c r="G60" s="1274"/>
      <c r="H60" s="1274"/>
      <c r="I60" s="1276"/>
      <c r="J60" s="1278"/>
    </row>
    <row r="61" spans="1:10" ht="32.450000000000003" customHeight="1" x14ac:dyDescent="0.3">
      <c r="A61" s="1248" t="s">
        <v>112</v>
      </c>
      <c r="B61" s="1396" t="s">
        <v>254</v>
      </c>
      <c r="C61" s="1380" t="s">
        <v>255</v>
      </c>
      <c r="D61" s="1187" t="s">
        <v>103</v>
      </c>
      <c r="E61" s="1171">
        <f>'7. 강서구어린이집'!D8</f>
        <v>182064000</v>
      </c>
      <c r="F61" s="1171">
        <f>'7. 강서구어린이집'!E8</f>
        <v>140945599</v>
      </c>
      <c r="G61" s="1171">
        <f>'7. 강서구어린이집'!F8</f>
        <v>188972000</v>
      </c>
      <c r="H61" s="1172">
        <f>G61-E61</f>
        <v>6908000</v>
      </c>
      <c r="I61" s="1173">
        <f>H61/E61*100%</f>
        <v>3.7942701467615782E-2</v>
      </c>
      <c r="J61" s="1174" t="str">
        <f>'7. 강서구어린이집'!I8</f>
        <v>원아수 46명 /영아2명 입소로 인한 
정보지원보육료증가</v>
      </c>
    </row>
    <row r="62" spans="1:10" ht="21.6" customHeight="1" x14ac:dyDescent="0.3">
      <c r="A62" s="1248"/>
      <c r="B62" s="1397"/>
      <c r="C62" s="1381"/>
      <c r="D62" s="1183" t="s">
        <v>104</v>
      </c>
      <c r="E62" s="1171"/>
      <c r="F62" s="1171"/>
      <c r="G62" s="1171"/>
      <c r="H62" s="802"/>
      <c r="I62" s="1173"/>
      <c r="J62" s="1174"/>
    </row>
    <row r="63" spans="1:10" ht="17.25" thickBot="1" x14ac:dyDescent="0.35">
      <c r="A63" s="1248"/>
      <c r="B63" s="1398"/>
      <c r="C63" s="1350" t="s">
        <v>704</v>
      </c>
      <c r="D63" s="1351"/>
      <c r="E63" s="1176">
        <f>SUM(E61:E62)</f>
        <v>182064000</v>
      </c>
      <c r="F63" s="1176">
        <f t="shared" ref="F63:G63" si="28">SUM(F61:F62)</f>
        <v>140945599</v>
      </c>
      <c r="G63" s="1176">
        <f t="shared" si="28"/>
        <v>188972000</v>
      </c>
      <c r="H63" s="805">
        <f t="shared" ref="H63:H79" si="29">G63-E63</f>
        <v>6908000</v>
      </c>
      <c r="I63" s="1177">
        <f t="shared" ref="I63:I82" si="30">H63/E63*100%</f>
        <v>3.7942701467615782E-2</v>
      </c>
      <c r="J63" s="993"/>
    </row>
    <row r="64" spans="1:10" ht="33" x14ac:dyDescent="0.3">
      <c r="A64" s="1248"/>
      <c r="B64" s="1352" t="s">
        <v>256</v>
      </c>
      <c r="C64" s="1178" t="s">
        <v>257</v>
      </c>
      <c r="D64" s="1179" t="s">
        <v>105</v>
      </c>
      <c r="E64" s="1180">
        <f>'7. 강서구어린이집'!D11</f>
        <v>19824000</v>
      </c>
      <c r="F64" s="1180">
        <f>'7. 강서구어린이집'!E11</f>
        <v>7648000</v>
      </c>
      <c r="G64" s="1180">
        <f>'7. 강서구어린이집'!F11</f>
        <v>7972000</v>
      </c>
      <c r="H64" s="1181">
        <f t="shared" si="29"/>
        <v>-11852000</v>
      </c>
      <c r="I64" s="1182">
        <f t="shared" si="30"/>
        <v>-0.59786117836965291</v>
      </c>
      <c r="J64" s="1174" t="str">
        <f>'7. 강서구어린이집'!I11</f>
        <v>수익자부담경비 특별활동비 감소</v>
      </c>
    </row>
    <row r="65" spans="1:10" x14ac:dyDescent="0.3">
      <c r="A65" s="1248"/>
      <c r="B65" s="1353"/>
      <c r="C65" s="1183" t="s">
        <v>258</v>
      </c>
      <c r="D65" s="1175" t="s">
        <v>102</v>
      </c>
      <c r="E65" s="597">
        <f>'7. 강서구어린이집'!D12</f>
        <v>11833000</v>
      </c>
      <c r="F65" s="597">
        <f>'7. 강서구어린이집'!E12</f>
        <v>7519000</v>
      </c>
      <c r="G65" s="597">
        <f>'7. 강서구어린이집'!F12</f>
        <v>8343000</v>
      </c>
      <c r="H65" s="1184">
        <f t="shared" si="29"/>
        <v>-3490000</v>
      </c>
      <c r="I65" s="1173">
        <f t="shared" si="30"/>
        <v>-0.29493788557424155</v>
      </c>
      <c r="J65" s="1174" t="str">
        <f>'7. 강서구어린이집'!I12</f>
        <v>수익자부담경비현장학습비 감소</v>
      </c>
    </row>
    <row r="66" spans="1:10" ht="17.25" thickBot="1" x14ac:dyDescent="0.35">
      <c r="A66" s="1248"/>
      <c r="B66" s="1354"/>
      <c r="C66" s="1350" t="s">
        <v>704</v>
      </c>
      <c r="D66" s="1351"/>
      <c r="E66" s="1176">
        <f>SUM(E64:E65)</f>
        <v>31657000</v>
      </c>
      <c r="F66" s="1176">
        <f t="shared" ref="F66:G66" si="31">SUM(F64:F65)</f>
        <v>15167000</v>
      </c>
      <c r="G66" s="1176">
        <f t="shared" si="31"/>
        <v>16315000</v>
      </c>
      <c r="H66" s="1185">
        <f t="shared" si="29"/>
        <v>-15342000</v>
      </c>
      <c r="I66" s="1186">
        <f t="shared" si="30"/>
        <v>-0.48463215086710681</v>
      </c>
      <c r="J66" s="994"/>
    </row>
    <row r="67" spans="1:10" x14ac:dyDescent="0.3">
      <c r="A67" s="1248"/>
      <c r="B67" s="1382" t="s">
        <v>260</v>
      </c>
      <c r="C67" s="1187" t="s">
        <v>259</v>
      </c>
      <c r="D67" s="1170" t="s">
        <v>71</v>
      </c>
      <c r="E67" s="1171">
        <f>'7. 강서구어린이집'!D15</f>
        <v>278793293</v>
      </c>
      <c r="F67" s="1171">
        <f>'7. 강서구어린이집'!E15</f>
        <v>215794680</v>
      </c>
      <c r="G67" s="1171">
        <f>'7. 강서구어린이집'!F15</f>
        <v>304394980</v>
      </c>
      <c r="H67" s="1172">
        <f t="shared" si="29"/>
        <v>25601687</v>
      </c>
      <c r="I67" s="1173">
        <f t="shared" si="30"/>
        <v>9.1830354756776741E-2</v>
      </c>
      <c r="J67" s="1174"/>
    </row>
    <row r="68" spans="1:10" x14ac:dyDescent="0.3">
      <c r="A68" s="1248"/>
      <c r="B68" s="1383"/>
      <c r="C68" s="1385" t="s">
        <v>261</v>
      </c>
      <c r="D68" s="1175" t="s">
        <v>106</v>
      </c>
      <c r="E68" s="597">
        <f>'7. 강서구어린이집'!D16</f>
        <v>2400000</v>
      </c>
      <c r="F68" s="597">
        <f>'7. 강서구어린이집'!E16</f>
        <v>2426000</v>
      </c>
      <c r="G68" s="597">
        <f>'7. 강서구어린이집'!F16</f>
        <v>2400000</v>
      </c>
      <c r="H68" s="802">
        <f t="shared" si="29"/>
        <v>0</v>
      </c>
      <c r="I68" s="1173">
        <f t="shared" si="30"/>
        <v>0</v>
      </c>
      <c r="J68" s="1174"/>
    </row>
    <row r="69" spans="1:10" x14ac:dyDescent="0.3">
      <c r="A69" s="1248"/>
      <c r="B69" s="1383"/>
      <c r="C69" s="1386"/>
      <c r="D69" s="1175" t="s">
        <v>73</v>
      </c>
      <c r="E69" s="597"/>
      <c r="F69" s="597"/>
      <c r="G69" s="597"/>
      <c r="H69" s="802"/>
      <c r="I69" s="1173"/>
      <c r="J69" s="1174"/>
    </row>
    <row r="70" spans="1:10" ht="49.5" x14ac:dyDescent="0.3">
      <c r="A70" s="1248"/>
      <c r="B70" s="1383"/>
      <c r="C70" s="1386"/>
      <c r="D70" s="1175" t="s">
        <v>74</v>
      </c>
      <c r="E70" s="597">
        <f>'7. 강서구어린이집'!D18</f>
        <v>36540320</v>
      </c>
      <c r="F70" s="597">
        <f>'7. 강서구어린이집'!E18</f>
        <v>49074580</v>
      </c>
      <c r="G70" s="597">
        <f>'7. 강서구어린이집'!F18</f>
        <v>53366640</v>
      </c>
      <c r="H70" s="802">
        <f t="shared" si="29"/>
        <v>16826320</v>
      </c>
      <c r="I70" s="1173">
        <f t="shared" si="30"/>
        <v>0.46048638873441722</v>
      </c>
      <c r="J70" s="1174" t="str">
        <f>'7. 강서구어린이집'!I18</f>
        <v>부산시 애중중지보육사업
유아반 특별활동, 현장학습비/5세누리과정보육료 증가</v>
      </c>
    </row>
    <row r="71" spans="1:10" ht="17.25" thickBot="1" x14ac:dyDescent="0.35">
      <c r="A71" s="1248"/>
      <c r="B71" s="1384"/>
      <c r="C71" s="1350" t="s">
        <v>704</v>
      </c>
      <c r="D71" s="1351"/>
      <c r="E71" s="1176">
        <f>SUM(E67:E70)</f>
        <v>317733613</v>
      </c>
      <c r="F71" s="1176">
        <f t="shared" ref="F71:G71" si="32">SUM(F67:F70)</f>
        <v>267295260</v>
      </c>
      <c r="G71" s="1176">
        <f t="shared" si="32"/>
        <v>360161620</v>
      </c>
      <c r="H71" s="805">
        <f t="shared" si="29"/>
        <v>42428007</v>
      </c>
      <c r="I71" s="1186">
        <f t="shared" si="30"/>
        <v>0.13353326580527694</v>
      </c>
      <c r="J71" s="1188"/>
    </row>
    <row r="72" spans="1:10" x14ac:dyDescent="0.3">
      <c r="A72" s="1248"/>
      <c r="B72" s="1168" t="s">
        <v>4</v>
      </c>
      <c r="C72" s="1187" t="s">
        <v>262</v>
      </c>
      <c r="D72" s="1170" t="s">
        <v>107</v>
      </c>
      <c r="E72" s="1171">
        <f>'7. 강서구어린이집'!D21</f>
        <v>1680000</v>
      </c>
      <c r="F72" s="1171">
        <f>'7. 강서구어린이집'!E21</f>
        <v>1260000</v>
      </c>
      <c r="G72" s="1171">
        <f>'7. 강서구어린이집'!F21</f>
        <v>1680000</v>
      </c>
      <c r="H72" s="1172">
        <f t="shared" si="29"/>
        <v>0</v>
      </c>
      <c r="I72" s="1173">
        <f t="shared" si="30"/>
        <v>0</v>
      </c>
      <c r="J72" s="1174"/>
    </row>
    <row r="73" spans="1:10" ht="17.25" thickBot="1" x14ac:dyDescent="0.35">
      <c r="A73" s="1248"/>
      <c r="B73" s="1166"/>
      <c r="C73" s="1350" t="s">
        <v>704</v>
      </c>
      <c r="D73" s="1351"/>
      <c r="E73" s="1176">
        <f>'7. 강서구어린이집'!D22</f>
        <v>1680000</v>
      </c>
      <c r="F73" s="1176">
        <f>'7. 강서구어린이집'!E22</f>
        <v>1260000</v>
      </c>
      <c r="G73" s="1176">
        <f>'7. 강서구어린이집'!F22</f>
        <v>1680000</v>
      </c>
      <c r="H73" s="805">
        <f t="shared" si="29"/>
        <v>0</v>
      </c>
      <c r="I73" s="1177">
        <f t="shared" si="30"/>
        <v>0</v>
      </c>
      <c r="J73" s="994"/>
    </row>
    <row r="74" spans="1:10" x14ac:dyDescent="0.3">
      <c r="A74" s="1248"/>
      <c r="B74" s="1189" t="s">
        <v>267</v>
      </c>
      <c r="C74" s="1187" t="s">
        <v>263</v>
      </c>
      <c r="D74" s="1170" t="s">
        <v>77</v>
      </c>
      <c r="E74" s="1171">
        <f>'7. 강서구어린이집'!D23</f>
        <v>0</v>
      </c>
      <c r="F74" s="1171">
        <f>'7. 강서구어린이집'!E23</f>
        <v>1717828</v>
      </c>
      <c r="G74" s="1171">
        <f>'7. 강서구어린이집'!F23</f>
        <v>1717828</v>
      </c>
      <c r="H74" s="1172">
        <f t="shared" si="29"/>
        <v>1717828</v>
      </c>
      <c r="I74" s="1173" t="e">
        <f t="shared" si="30"/>
        <v>#DIV/0!</v>
      </c>
      <c r="J74" s="1174"/>
    </row>
    <row r="75" spans="1:10" ht="17.25" thickBot="1" x14ac:dyDescent="0.35">
      <c r="A75" s="1248"/>
      <c r="B75" s="1190"/>
      <c r="C75" s="1350" t="s">
        <v>704</v>
      </c>
      <c r="D75" s="1351"/>
      <c r="E75" s="1176">
        <f>E74</f>
        <v>0</v>
      </c>
      <c r="F75" s="1176">
        <f t="shared" ref="F75:G75" si="33">F74</f>
        <v>1717828</v>
      </c>
      <c r="G75" s="1176">
        <f t="shared" si="33"/>
        <v>1717828</v>
      </c>
      <c r="H75" s="805">
        <f t="shared" si="29"/>
        <v>1717828</v>
      </c>
      <c r="I75" s="1177" t="e">
        <f t="shared" si="30"/>
        <v>#DIV/0!</v>
      </c>
      <c r="J75" s="994"/>
    </row>
    <row r="76" spans="1:10" x14ac:dyDescent="0.3">
      <c r="A76" s="1248"/>
      <c r="B76" s="1352" t="s">
        <v>266</v>
      </c>
      <c r="C76" s="1387" t="s">
        <v>264</v>
      </c>
      <c r="D76" s="1170" t="s">
        <v>108</v>
      </c>
      <c r="E76" s="1171">
        <f>'7. 강서구어린이집'!D25</f>
        <v>5387</v>
      </c>
      <c r="F76" s="1171">
        <f>'7. 강서구어린이집'!E25</f>
        <v>8101</v>
      </c>
      <c r="G76" s="1171">
        <f>'7. 강서구어린이집'!F25</f>
        <v>15170</v>
      </c>
      <c r="H76" s="1172">
        <f t="shared" si="29"/>
        <v>9783</v>
      </c>
      <c r="I76" s="1173">
        <f t="shared" si="30"/>
        <v>1.8160386114720624</v>
      </c>
      <c r="J76" s="1174" t="str">
        <f>'7. 강서구어린이집'!I23</f>
        <v>1년미만 퇴직자 퇴직적립금 증가</v>
      </c>
    </row>
    <row r="77" spans="1:10" x14ac:dyDescent="0.3">
      <c r="A77" s="1248"/>
      <c r="B77" s="1353"/>
      <c r="C77" s="1386"/>
      <c r="D77" s="1175" t="s">
        <v>109</v>
      </c>
      <c r="E77" s="1171">
        <f>'7. 강서구어린이집'!D26</f>
        <v>150000</v>
      </c>
      <c r="F77" s="1171">
        <f>'7. 강서구어린이집'!E26</f>
        <v>48010</v>
      </c>
      <c r="G77" s="1171">
        <f>'7. 강서구어린이집'!F26</f>
        <v>48010</v>
      </c>
      <c r="H77" s="1184">
        <f t="shared" si="29"/>
        <v>-101990</v>
      </c>
      <c r="I77" s="1173">
        <f t="shared" si="30"/>
        <v>-0.67993333333333328</v>
      </c>
      <c r="J77" s="1174"/>
    </row>
    <row r="78" spans="1:10" ht="17.25" thickBot="1" x14ac:dyDescent="0.35">
      <c r="A78" s="1248"/>
      <c r="B78" s="1354"/>
      <c r="C78" s="1350" t="s">
        <v>704</v>
      </c>
      <c r="D78" s="1351"/>
      <c r="E78" s="1176">
        <f>SUM(E76:E77)</f>
        <v>155387</v>
      </c>
      <c r="F78" s="1176">
        <f t="shared" ref="F78:G78" si="34">SUM(F76:F77)</f>
        <v>56111</v>
      </c>
      <c r="G78" s="1176">
        <f t="shared" si="34"/>
        <v>63180</v>
      </c>
      <c r="H78" s="1185">
        <f t="shared" si="29"/>
        <v>-92207</v>
      </c>
      <c r="I78" s="1177">
        <f t="shared" si="30"/>
        <v>-0.59340227946996849</v>
      </c>
      <c r="J78" s="994"/>
    </row>
    <row r="79" spans="1:10" x14ac:dyDescent="0.3">
      <c r="A79" s="1248"/>
      <c r="B79" s="1352" t="s">
        <v>265</v>
      </c>
      <c r="C79" s="1388" t="s">
        <v>265</v>
      </c>
      <c r="D79" s="1170" t="s">
        <v>110</v>
      </c>
      <c r="E79" s="1171">
        <f>'7. 강서구어린이집'!D28</f>
        <v>5000000</v>
      </c>
      <c r="F79" s="1171">
        <f>'7. 강서구어린이집'!E28</f>
        <v>30900372</v>
      </c>
      <c r="G79" s="1171">
        <f>'7. 강서구어린이집'!F28</f>
        <v>30900372</v>
      </c>
      <c r="H79" s="1172">
        <f t="shared" si="29"/>
        <v>25900372</v>
      </c>
      <c r="I79" s="1173">
        <f t="shared" si="30"/>
        <v>5.1800743999999996</v>
      </c>
      <c r="J79" s="1174" t="s">
        <v>463</v>
      </c>
    </row>
    <row r="80" spans="1:10" x14ac:dyDescent="0.3">
      <c r="A80" s="1248"/>
      <c r="B80" s="1353"/>
      <c r="C80" s="1389"/>
      <c r="D80" s="1175" t="s">
        <v>111</v>
      </c>
      <c r="E80" s="1171"/>
      <c r="F80" s="1171"/>
      <c r="G80" s="1171"/>
      <c r="H80" s="802"/>
      <c r="I80" s="1173"/>
      <c r="J80" s="1174"/>
    </row>
    <row r="81" spans="1:14" ht="17.25" thickBot="1" x14ac:dyDescent="0.35">
      <c r="A81" s="1248"/>
      <c r="B81" s="1354"/>
      <c r="C81" s="1350" t="s">
        <v>704</v>
      </c>
      <c r="D81" s="1351"/>
      <c r="E81" s="1191">
        <f>SUM(E79:E80)</f>
        <v>5000000</v>
      </c>
      <c r="F81" s="1191">
        <f t="shared" ref="F81:G81" si="35">SUM(F79:F80)</f>
        <v>30900372</v>
      </c>
      <c r="G81" s="1191">
        <f t="shared" si="35"/>
        <v>30900372</v>
      </c>
      <c r="H81" s="1192">
        <f>SUM(H79:H80)</f>
        <v>25900372</v>
      </c>
      <c r="I81" s="1177">
        <f t="shared" si="30"/>
        <v>5.1800743999999996</v>
      </c>
      <c r="J81" s="994"/>
    </row>
    <row r="82" spans="1:14" ht="17.25" thickBot="1" x14ac:dyDescent="0.35">
      <c r="A82" s="1249"/>
      <c r="B82" s="1378" t="s">
        <v>708</v>
      </c>
      <c r="C82" s="1378"/>
      <c r="D82" s="1379"/>
      <c r="E82" s="1200">
        <f>SUM(E63,E66,E71,E73,E75,E78,E81)</f>
        <v>538290000</v>
      </c>
      <c r="F82" s="1200">
        <f t="shared" ref="F82:G82" si="36">SUM(F63,F66,F71,F73,F75,F78,F81)</f>
        <v>457342170</v>
      </c>
      <c r="G82" s="1200">
        <f t="shared" si="36"/>
        <v>599810000</v>
      </c>
      <c r="H82" s="1200">
        <f>G82-E82</f>
        <v>61520000</v>
      </c>
      <c r="I82" s="1201">
        <f t="shared" si="30"/>
        <v>0.11428783741106095</v>
      </c>
      <c r="J82" s="995"/>
    </row>
    <row r="83" spans="1:14" ht="28.15" customHeight="1" thickBot="1" x14ac:dyDescent="0.35">
      <c r="A83" s="1196"/>
      <c r="B83" s="1340" t="s">
        <v>731</v>
      </c>
      <c r="C83" s="1340"/>
      <c r="D83" s="1340"/>
      <c r="E83" s="1340"/>
      <c r="F83" s="1340"/>
      <c r="G83" s="1340"/>
      <c r="H83" s="1340"/>
      <c r="I83" s="1340"/>
      <c r="J83" s="1340"/>
    </row>
    <row r="84" spans="1:14" ht="17.45" customHeight="1" x14ac:dyDescent="0.3">
      <c r="A84" s="1245" t="s">
        <v>126</v>
      </c>
      <c r="B84" s="1330" t="s">
        <v>14</v>
      </c>
      <c r="C84" s="1331"/>
      <c r="D84" s="1331"/>
      <c r="E84" s="1273" t="s">
        <v>237</v>
      </c>
      <c r="F84" s="1273" t="s">
        <v>394</v>
      </c>
      <c r="G84" s="1273" t="s">
        <v>236</v>
      </c>
      <c r="H84" s="1273" t="s">
        <v>59</v>
      </c>
      <c r="I84" s="1328" t="s">
        <v>49</v>
      </c>
      <c r="J84" s="1332" t="s">
        <v>130</v>
      </c>
    </row>
    <row r="85" spans="1:14" ht="18" customHeight="1" thickBot="1" x14ac:dyDescent="0.35">
      <c r="A85" s="1246"/>
      <c r="B85" s="317" t="s">
        <v>0</v>
      </c>
      <c r="C85" s="318" t="s">
        <v>1</v>
      </c>
      <c r="D85" s="318" t="s">
        <v>2</v>
      </c>
      <c r="E85" s="1274"/>
      <c r="F85" s="1274"/>
      <c r="G85" s="1274"/>
      <c r="H85" s="1274"/>
      <c r="I85" s="1329"/>
      <c r="J85" s="1333"/>
    </row>
    <row r="86" spans="1:14" ht="16.5" customHeight="1" x14ac:dyDescent="0.3">
      <c r="A86" s="1297" t="s">
        <v>127</v>
      </c>
      <c r="B86" s="1334" t="s">
        <v>633</v>
      </c>
      <c r="C86" s="1336" t="s">
        <v>538</v>
      </c>
      <c r="D86" s="198" t="s">
        <v>634</v>
      </c>
      <c r="E86" s="46">
        <f>'1. 본부사무국'!D27+'2.서울지부'!D27+'3.부산지부'!D27</f>
        <v>71386680</v>
      </c>
      <c r="F86" s="46">
        <f>'1. 본부사무국'!E27+'2.서울지부'!E27+'3.부산지부'!E27</f>
        <v>58739420</v>
      </c>
      <c r="G86" s="46">
        <f>'1. 본부사무국'!F27+'2.서울지부'!F27+'3.부산지부'!F27</f>
        <v>71386680</v>
      </c>
      <c r="H86" s="47">
        <f>G86-E86</f>
        <v>0</v>
      </c>
      <c r="I86" s="307">
        <f>H86/E86*100%</f>
        <v>0</v>
      </c>
      <c r="J86" s="555"/>
    </row>
    <row r="87" spans="1:14" x14ac:dyDescent="0.3">
      <c r="A87" s="1345"/>
      <c r="B87" s="1334"/>
      <c r="C87" s="1336"/>
      <c r="D87" s="199" t="s">
        <v>635</v>
      </c>
      <c r="E87" s="205">
        <f>'1. 본부사무국'!D28+'2.서울지부'!D28+'3.부산지부'!D28</f>
        <v>8200080</v>
      </c>
      <c r="F87" s="205">
        <f>'1. 본부사무국'!E28+'2.서울지부'!E28+'3.부산지부'!E28</f>
        <v>2016740</v>
      </c>
      <c r="G87" s="205">
        <f>'1. 본부사무국'!F28+'2.서울지부'!F28+'3.부산지부'!F28</f>
        <v>8200080</v>
      </c>
      <c r="H87" s="255">
        <f t="shared" ref="H87:H109" si="37">G87-E87</f>
        <v>0</v>
      </c>
      <c r="I87" s="306">
        <f t="shared" ref="I87:I109" si="38">H87/E87*100%</f>
        <v>0</v>
      </c>
      <c r="J87" s="313"/>
      <c r="N87" t="s">
        <v>705</v>
      </c>
    </row>
    <row r="88" spans="1:14" x14ac:dyDescent="0.3">
      <c r="A88" s="1345"/>
      <c r="B88" s="1334"/>
      <c r="C88" s="1336"/>
      <c r="D88" s="199" t="s">
        <v>636</v>
      </c>
      <c r="E88" s="205">
        <f>'1. 본부사무국'!D29+'2.서울지부'!D29+'3.부산지부'!D29</f>
        <v>9913990</v>
      </c>
      <c r="F88" s="205">
        <f>'1. 본부사무국'!E29+'2.서울지부'!E29+'3.부산지부'!E29</f>
        <v>9025121</v>
      </c>
      <c r="G88" s="205">
        <f>'1. 본부사무국'!F29+'2.서울지부'!F29+'3.부산지부'!F29</f>
        <v>9855180</v>
      </c>
      <c r="H88" s="255">
        <f t="shared" si="37"/>
        <v>-58810</v>
      </c>
      <c r="I88" s="306">
        <f t="shared" si="38"/>
        <v>-5.9320213153331806E-3</v>
      </c>
      <c r="J88" s="314"/>
    </row>
    <row r="89" spans="1:14" x14ac:dyDescent="0.3">
      <c r="A89" s="1345"/>
      <c r="B89" s="1334"/>
      <c r="C89" s="1336"/>
      <c r="D89" s="199" t="s">
        <v>637</v>
      </c>
      <c r="E89" s="205">
        <f>'1. 본부사무국'!D30+'2.서울지부'!D30+'3.부산지부'!D30</f>
        <v>1200000</v>
      </c>
      <c r="F89" s="205">
        <f>'1. 본부사무국'!E30+'2.서울지부'!E30+'3.부산지부'!E30</f>
        <v>1100000</v>
      </c>
      <c r="G89" s="205">
        <f>'1. 본부사무국'!F30+'2.서울지부'!F30+'3.부산지부'!F30</f>
        <v>1200000</v>
      </c>
      <c r="H89" s="255">
        <f t="shared" si="37"/>
        <v>0</v>
      </c>
      <c r="I89" s="306">
        <f t="shared" si="38"/>
        <v>0</v>
      </c>
      <c r="J89" s="315"/>
    </row>
    <row r="90" spans="1:14" ht="17.25" thickBot="1" x14ac:dyDescent="0.35">
      <c r="A90" s="1345"/>
      <c r="B90" s="1334"/>
      <c r="C90" s="1337"/>
      <c r="D90" s="939" t="s">
        <v>735</v>
      </c>
      <c r="E90" s="59">
        <f>SUM(E86:E89)</f>
        <v>90700750</v>
      </c>
      <c r="F90" s="59">
        <f t="shared" ref="F90:G90" si="39">SUM(F86:F89)</f>
        <v>70881281</v>
      </c>
      <c r="G90" s="59">
        <f t="shared" si="39"/>
        <v>90641940</v>
      </c>
      <c r="H90" s="557">
        <f t="shared" si="37"/>
        <v>-58810</v>
      </c>
      <c r="I90" s="558">
        <f t="shared" si="38"/>
        <v>-6.4839596144464077E-4</v>
      </c>
      <c r="J90" s="257"/>
    </row>
    <row r="91" spans="1:14" x14ac:dyDescent="0.3">
      <c r="A91" s="1345"/>
      <c r="B91" s="1334"/>
      <c r="C91" s="1338" t="s">
        <v>638</v>
      </c>
      <c r="D91" s="200" t="s">
        <v>639</v>
      </c>
      <c r="E91" s="259">
        <f>'1. 본부사무국'!D32+'2.서울지부'!D32+'3.부산지부'!D32</f>
        <v>1250000</v>
      </c>
      <c r="F91" s="259">
        <f>'1. 본부사무국'!E32+'2.서울지부'!E32+'3.부산지부'!E32</f>
        <v>396000</v>
      </c>
      <c r="G91" s="259">
        <f>'1. 본부사무국'!F32+'2.서울지부'!F32+'3.부산지부'!F32</f>
        <v>1200000</v>
      </c>
      <c r="H91" s="47">
        <f t="shared" si="37"/>
        <v>-50000</v>
      </c>
      <c r="I91" s="307">
        <f t="shared" si="38"/>
        <v>-0.04</v>
      </c>
      <c r="J91" s="316"/>
    </row>
    <row r="92" spans="1:14" x14ac:dyDescent="0.3">
      <c r="A92" s="1345"/>
      <c r="B92" s="1334"/>
      <c r="C92" s="1336"/>
      <c r="D92" s="199" t="s">
        <v>640</v>
      </c>
      <c r="E92" s="252">
        <f>'1. 본부사무국'!D33+'2.서울지부'!D33+'3.부산지부'!D33</f>
        <v>1200000</v>
      </c>
      <c r="F92" s="252">
        <f>'1. 본부사무국'!E33+'2.서울지부'!E33+'3.부산지부'!E33</f>
        <v>675160</v>
      </c>
      <c r="G92" s="252">
        <f>'1. 본부사무국'!F33+'2.서울지부'!F33+'3.부산지부'!F33</f>
        <v>1100000</v>
      </c>
      <c r="H92" s="255">
        <f t="shared" si="37"/>
        <v>-100000</v>
      </c>
      <c r="I92" s="306">
        <f t="shared" si="38"/>
        <v>-8.3333333333333329E-2</v>
      </c>
      <c r="J92" s="314"/>
    </row>
    <row r="93" spans="1:14" ht="17.25" thickBot="1" x14ac:dyDescent="0.35">
      <c r="A93" s="1345"/>
      <c r="B93" s="1334"/>
      <c r="C93" s="1337"/>
      <c r="D93" s="939" t="s">
        <v>735</v>
      </c>
      <c r="E93" s="59">
        <f>SUM(E91:E92)</f>
        <v>2450000</v>
      </c>
      <c r="F93" s="59">
        <f t="shared" ref="F93:G93" si="40">SUM(F91:F92)</f>
        <v>1071160</v>
      </c>
      <c r="G93" s="59">
        <f t="shared" si="40"/>
        <v>2300000</v>
      </c>
      <c r="H93" s="557">
        <f t="shared" si="37"/>
        <v>-150000</v>
      </c>
      <c r="I93" s="558">
        <f t="shared" si="38"/>
        <v>-6.1224489795918366E-2</v>
      </c>
      <c r="J93" s="60"/>
    </row>
    <row r="94" spans="1:14" x14ac:dyDescent="0.3">
      <c r="A94" s="1345"/>
      <c r="B94" s="1334"/>
      <c r="C94" s="1338" t="s">
        <v>642</v>
      </c>
      <c r="D94" s="200" t="s">
        <v>643</v>
      </c>
      <c r="E94" s="259">
        <f>'1. 본부사무국'!D35+'2.서울지부'!D35+'3.부산지부'!D35</f>
        <v>100000</v>
      </c>
      <c r="F94" s="259">
        <f>'1. 본부사무국'!E35+'2.서울지부'!E35+'3.부산지부'!E35</f>
        <v>0</v>
      </c>
      <c r="G94" s="259">
        <f>'1. 본부사무국'!F35+'2.서울지부'!F35+'3.부산지부'!F35</f>
        <v>50000</v>
      </c>
      <c r="H94" s="47">
        <f t="shared" si="37"/>
        <v>-50000</v>
      </c>
      <c r="I94" s="307">
        <f t="shared" si="38"/>
        <v>-0.5</v>
      </c>
      <c r="J94" s="562"/>
    </row>
    <row r="95" spans="1:14" x14ac:dyDescent="0.3">
      <c r="A95" s="1345"/>
      <c r="B95" s="1334"/>
      <c r="C95" s="1336"/>
      <c r="D95" s="199" t="s">
        <v>644</v>
      </c>
      <c r="E95" s="252">
        <f>'1. 본부사무국'!D36+'2.서울지부'!D36+'3.부산지부'!D36</f>
        <v>3000000</v>
      </c>
      <c r="F95" s="252">
        <f>'1. 본부사무국'!E36+'2.서울지부'!E36+'3.부산지부'!E36</f>
        <v>3012420</v>
      </c>
      <c r="G95" s="252">
        <f>'1. 본부사무국'!F36+'2.서울지부'!F36+'3.부산지부'!F36</f>
        <v>3000000</v>
      </c>
      <c r="H95" s="255">
        <f t="shared" si="37"/>
        <v>0</v>
      </c>
      <c r="I95" s="306">
        <f t="shared" si="38"/>
        <v>0</v>
      </c>
      <c r="J95" s="314"/>
    </row>
    <row r="96" spans="1:14" x14ac:dyDescent="0.3">
      <c r="A96" s="1345"/>
      <c r="B96" s="1334"/>
      <c r="C96" s="1336"/>
      <c r="D96" s="199" t="s">
        <v>645</v>
      </c>
      <c r="E96" s="252">
        <f>'1. 본부사무국'!D37+'2.서울지부'!D37+'3.부산지부'!D37</f>
        <v>219120</v>
      </c>
      <c r="F96" s="252">
        <f>'1. 본부사무국'!E37+'2.서울지부'!E37+'3.부산지부'!E37</f>
        <v>156900</v>
      </c>
      <c r="G96" s="252">
        <f>'1. 본부사무국'!F37+'2.서울지부'!F37+'3.부산지부'!F37</f>
        <v>179120</v>
      </c>
      <c r="H96" s="255">
        <f t="shared" si="37"/>
        <v>-40000</v>
      </c>
      <c r="I96" s="306">
        <f t="shared" si="38"/>
        <v>-0.18254837531945967</v>
      </c>
      <c r="J96" s="314"/>
    </row>
    <row r="97" spans="1:10" x14ac:dyDescent="0.3">
      <c r="A97" s="1345"/>
      <c r="B97" s="1334"/>
      <c r="C97" s="1336"/>
      <c r="D97" s="199" t="s">
        <v>646</v>
      </c>
      <c r="E97" s="252">
        <f>'1. 본부사무국'!D38+'2.서울지부'!D38+'3.부산지부'!D38</f>
        <v>7500000</v>
      </c>
      <c r="F97" s="252">
        <f>'1. 본부사무국'!E38+'2.서울지부'!E38+'3.부산지부'!E38</f>
        <v>9691955</v>
      </c>
      <c r="G97" s="252">
        <f>'1. 본부사무국'!F38+'2.서울지부'!F38+'3.부산지부'!F38</f>
        <v>8800000</v>
      </c>
      <c r="H97" s="255">
        <f t="shared" si="37"/>
        <v>1300000</v>
      </c>
      <c r="I97" s="306">
        <f t="shared" si="38"/>
        <v>0.17333333333333334</v>
      </c>
      <c r="J97" s="314"/>
    </row>
    <row r="98" spans="1:10" x14ac:dyDescent="0.3">
      <c r="A98" s="1345"/>
      <c r="B98" s="1334"/>
      <c r="C98" s="1336"/>
      <c r="D98" s="199" t="s">
        <v>647</v>
      </c>
      <c r="E98" s="252">
        <f>'1. 본부사무국'!D39+'2.서울지부'!D39+'3.부산지부'!D39</f>
        <v>350000</v>
      </c>
      <c r="F98" s="252">
        <f>'1. 본부사무국'!E39+'2.서울지부'!E39+'3.부산지부'!E39</f>
        <v>56000</v>
      </c>
      <c r="G98" s="252">
        <f>'1. 본부사무국'!F39+'2.서울지부'!F39+'3.부산지부'!F39</f>
        <v>100000</v>
      </c>
      <c r="H98" s="255">
        <f t="shared" si="37"/>
        <v>-250000</v>
      </c>
      <c r="I98" s="306">
        <f t="shared" si="38"/>
        <v>-0.7142857142857143</v>
      </c>
      <c r="J98" s="315"/>
    </row>
    <row r="99" spans="1:10" ht="17.25" thickBot="1" x14ac:dyDescent="0.35">
      <c r="A99" s="1345"/>
      <c r="B99" s="1334"/>
      <c r="C99" s="1337"/>
      <c r="D99" s="939" t="s">
        <v>735</v>
      </c>
      <c r="E99" s="59">
        <f>SUM(E94:E98)</f>
        <v>11169120</v>
      </c>
      <c r="F99" s="59">
        <f t="shared" ref="F99:G99" si="41">SUM(F94:F98)</f>
        <v>12917275</v>
      </c>
      <c r="G99" s="59">
        <f t="shared" si="41"/>
        <v>12129120</v>
      </c>
      <c r="H99" s="557">
        <f t="shared" si="37"/>
        <v>960000</v>
      </c>
      <c r="I99" s="558">
        <f t="shared" si="38"/>
        <v>8.5951265632386434E-2</v>
      </c>
      <c r="J99" s="60"/>
    </row>
    <row r="100" spans="1:10" ht="17.25" thickBot="1" x14ac:dyDescent="0.35">
      <c r="A100" s="1345"/>
      <c r="B100" s="1335"/>
      <c r="C100" s="1355" t="s">
        <v>641</v>
      </c>
      <c r="D100" s="1356"/>
      <c r="E100" s="559">
        <f>SUM(E90,E93,E99)</f>
        <v>104319870</v>
      </c>
      <c r="F100" s="559">
        <f t="shared" ref="F100:G100" si="42">SUM(F90,F93,F99)</f>
        <v>84869716</v>
      </c>
      <c r="G100" s="559">
        <f t="shared" si="42"/>
        <v>105071060</v>
      </c>
      <c r="H100" s="560">
        <f t="shared" si="37"/>
        <v>751190</v>
      </c>
      <c r="I100" s="581">
        <f t="shared" si="38"/>
        <v>7.2008333599342103E-3</v>
      </c>
      <c r="J100" s="561"/>
    </row>
    <row r="101" spans="1:10" x14ac:dyDescent="0.3">
      <c r="A101" s="1345"/>
      <c r="B101" s="1339" t="s">
        <v>648</v>
      </c>
      <c r="C101" s="1338" t="s">
        <v>649</v>
      </c>
      <c r="D101" s="200" t="s">
        <v>561</v>
      </c>
      <c r="E101" s="259">
        <f>'1. 본부사무국'!D42+'2.서울지부'!D42+'3.부산지부'!D42</f>
        <v>16500000</v>
      </c>
      <c r="F101" s="259">
        <f>'1. 본부사무국'!E42+'2.서울지부'!E42+'3.부산지부'!E42</f>
        <v>0</v>
      </c>
      <c r="G101" s="259">
        <f>'1. 본부사무국'!F42+'2.서울지부'!F42+'3.부산지부'!F42</f>
        <v>15000000</v>
      </c>
      <c r="H101" s="47">
        <f t="shared" si="37"/>
        <v>-1500000</v>
      </c>
      <c r="I101" s="306">
        <f t="shared" si="38"/>
        <v>-9.0909090909090912E-2</v>
      </c>
      <c r="J101" s="316"/>
    </row>
    <row r="102" spans="1:10" x14ac:dyDescent="0.3">
      <c r="A102" s="1345"/>
      <c r="B102" s="1334"/>
      <c r="C102" s="1347"/>
      <c r="D102" s="199" t="s">
        <v>650</v>
      </c>
      <c r="E102" s="252">
        <f>'1. 본부사무국'!D43+'2.서울지부'!D43+'3.부산지부'!D43</f>
        <v>23913405</v>
      </c>
      <c r="F102" s="252">
        <f>'1. 본부사무국'!E43+'2.서울지부'!E43+'3.부산지부'!E43</f>
        <v>13000005</v>
      </c>
      <c r="G102" s="252">
        <f>'1. 본부사무국'!F43+'2.서울지부'!F43+'3.부산지부'!F43</f>
        <v>23913405</v>
      </c>
      <c r="H102" s="255">
        <f t="shared" si="37"/>
        <v>0</v>
      </c>
      <c r="I102" s="306">
        <f t="shared" si="38"/>
        <v>0</v>
      </c>
      <c r="J102" s="314"/>
    </row>
    <row r="103" spans="1:10" ht="17.25" thickBot="1" x14ac:dyDescent="0.35">
      <c r="A103" s="1345"/>
      <c r="B103" s="1335"/>
      <c r="C103" s="1348" t="s">
        <v>651</v>
      </c>
      <c r="D103" s="1349"/>
      <c r="E103" s="59">
        <f>SUM(E101:E102)</f>
        <v>40413405</v>
      </c>
      <c r="F103" s="59">
        <f t="shared" ref="F103:G103" si="43">SUM(F101:F102)</f>
        <v>13000005</v>
      </c>
      <c r="G103" s="59">
        <f t="shared" si="43"/>
        <v>38913405</v>
      </c>
      <c r="H103" s="256">
        <f t="shared" si="37"/>
        <v>-1500000</v>
      </c>
      <c r="I103" s="556">
        <f t="shared" si="38"/>
        <v>-3.7116397393389643E-2</v>
      </c>
      <c r="J103" s="257"/>
    </row>
    <row r="104" spans="1:10" x14ac:dyDescent="0.3">
      <c r="A104" s="1345"/>
      <c r="B104" s="1339" t="s">
        <v>564</v>
      </c>
      <c r="C104" s="200" t="s">
        <v>565</v>
      </c>
      <c r="D104" s="200" t="s">
        <v>598</v>
      </c>
      <c r="E104" s="563">
        <f>'1. 본부사무국'!D45+'2.서울지부'!D45+'3.부산지부'!D45</f>
        <v>1000000</v>
      </c>
      <c r="F104" s="563">
        <f>'1. 본부사무국'!E45+'2.서울지부'!E45+'3.부산지부'!E45</f>
        <v>168259</v>
      </c>
      <c r="G104" s="563">
        <f>'1. 본부사무국'!F45+'2.서울지부'!F45+'3.부산지부'!F45</f>
        <v>1140000</v>
      </c>
      <c r="H104" s="253">
        <f t="shared" si="37"/>
        <v>140000</v>
      </c>
      <c r="I104" s="306">
        <f t="shared" si="38"/>
        <v>0.14000000000000001</v>
      </c>
      <c r="J104" s="564"/>
    </row>
    <row r="105" spans="1:10" ht="17.25" thickBot="1" x14ac:dyDescent="0.35">
      <c r="A105" s="1345"/>
      <c r="B105" s="1335"/>
      <c r="C105" s="1348" t="s">
        <v>510</v>
      </c>
      <c r="D105" s="1349"/>
      <c r="E105" s="59">
        <f>E104</f>
        <v>1000000</v>
      </c>
      <c r="F105" s="59">
        <f t="shared" ref="F105:G105" si="44">F104</f>
        <v>168259</v>
      </c>
      <c r="G105" s="59">
        <f t="shared" si="44"/>
        <v>1140000</v>
      </c>
      <c r="H105" s="256">
        <f t="shared" si="37"/>
        <v>140000</v>
      </c>
      <c r="I105" s="765">
        <f t="shared" si="38"/>
        <v>0.14000000000000001</v>
      </c>
      <c r="J105" s="257"/>
    </row>
    <row r="106" spans="1:10" ht="18.600000000000001" customHeight="1" x14ac:dyDescent="0.3">
      <c r="A106" s="1345"/>
      <c r="B106" s="1339" t="s">
        <v>652</v>
      </c>
      <c r="C106" s="200" t="s">
        <v>653</v>
      </c>
      <c r="D106" s="200" t="s">
        <v>654</v>
      </c>
      <c r="E106" s="46"/>
      <c r="F106" s="46"/>
      <c r="G106" s="46"/>
      <c r="H106" s="47"/>
      <c r="I106" s="306"/>
      <c r="J106" s="49"/>
    </row>
    <row r="107" spans="1:10" ht="17.25" thickBot="1" x14ac:dyDescent="0.35">
      <c r="A107" s="1345"/>
      <c r="B107" s="1335"/>
      <c r="C107" s="1348" t="s">
        <v>510</v>
      </c>
      <c r="D107" s="1349"/>
      <c r="E107" s="59"/>
      <c r="F107" s="59"/>
      <c r="G107" s="59"/>
      <c r="H107" s="256"/>
      <c r="I107" s="765"/>
      <c r="J107" s="60"/>
    </row>
    <row r="108" spans="1:10" x14ac:dyDescent="0.3">
      <c r="A108" s="1345"/>
      <c r="B108" s="1341" t="s">
        <v>43</v>
      </c>
      <c r="C108" s="200" t="s">
        <v>27</v>
      </c>
      <c r="D108" s="200" t="s">
        <v>655</v>
      </c>
      <c r="E108" s="46">
        <f>'1. 본부사무국'!D49+'2.서울지부'!D49+'3.부산지부'!D49</f>
        <v>4089762</v>
      </c>
      <c r="F108" s="46">
        <f>'1. 본부사무국'!E49+'2.서울지부'!E49+'3.부산지부'!E49</f>
        <v>15719540</v>
      </c>
      <c r="G108" s="46">
        <f>'1. 본부사무국'!F49+'2.서울지부'!F49+'3.부산지부'!F49</f>
        <v>6568572</v>
      </c>
      <c r="H108" s="47">
        <f t="shared" si="37"/>
        <v>2478810</v>
      </c>
      <c r="I108" s="306">
        <f t="shared" si="38"/>
        <v>0.60610128413340436</v>
      </c>
      <c r="J108" s="49"/>
    </row>
    <row r="109" spans="1:10" ht="17.25" thickBot="1" x14ac:dyDescent="0.35">
      <c r="A109" s="1345"/>
      <c r="B109" s="1342"/>
      <c r="C109" s="1348" t="s">
        <v>510</v>
      </c>
      <c r="D109" s="1349"/>
      <c r="E109" s="59">
        <f>E108</f>
        <v>4089762</v>
      </c>
      <c r="F109" s="59">
        <f t="shared" ref="F109:G109" si="45">F108</f>
        <v>15719540</v>
      </c>
      <c r="G109" s="59">
        <f t="shared" si="45"/>
        <v>6568572</v>
      </c>
      <c r="H109" s="256">
        <f t="shared" si="37"/>
        <v>2478810</v>
      </c>
      <c r="I109" s="765">
        <f t="shared" si="38"/>
        <v>0.60610128413340436</v>
      </c>
      <c r="J109" s="60"/>
    </row>
    <row r="110" spans="1:10" ht="17.25" thickBot="1" x14ac:dyDescent="0.35">
      <c r="A110" s="1346"/>
      <c r="B110" s="1343" t="s">
        <v>707</v>
      </c>
      <c r="C110" s="1344"/>
      <c r="D110" s="1344"/>
      <c r="E110" s="303">
        <f>SUM(E100,E103,E105,E107,E109)</f>
        <v>149823037</v>
      </c>
      <c r="F110" s="303">
        <f t="shared" ref="F110:G110" si="46">SUM(F100,F103,F105,F107,F109)</f>
        <v>113757520</v>
      </c>
      <c r="G110" s="303">
        <f t="shared" si="46"/>
        <v>151693037</v>
      </c>
      <c r="H110" s="304">
        <f>G110-E110</f>
        <v>1870000</v>
      </c>
      <c r="I110" s="565">
        <f>H110/E110*100%</f>
        <v>1.2481391630046853E-2</v>
      </c>
      <c r="J110" s="305"/>
    </row>
    <row r="111" spans="1:10" ht="17.25" thickBot="1" x14ac:dyDescent="0.35">
      <c r="A111" s="966"/>
      <c r="B111" s="1340" t="s">
        <v>731</v>
      </c>
      <c r="C111" s="1340"/>
      <c r="D111" s="1340"/>
      <c r="E111" s="1340"/>
      <c r="F111" s="1340"/>
      <c r="G111" s="1340"/>
      <c r="H111" s="1340"/>
      <c r="I111" s="1340"/>
      <c r="J111" s="1340"/>
    </row>
    <row r="112" spans="1:10" ht="17.45" customHeight="1" x14ac:dyDescent="0.3">
      <c r="A112" s="1295" t="s">
        <v>201</v>
      </c>
      <c r="B112" s="1314" t="s">
        <v>29</v>
      </c>
      <c r="C112" s="1315"/>
      <c r="D112" s="1315"/>
      <c r="E112" s="1273" t="s">
        <v>237</v>
      </c>
      <c r="F112" s="1273" t="s">
        <v>394</v>
      </c>
      <c r="G112" s="1273" t="s">
        <v>236</v>
      </c>
      <c r="H112" s="1273" t="s">
        <v>59</v>
      </c>
      <c r="I112" s="1275" t="s">
        <v>49</v>
      </c>
      <c r="J112" s="1277" t="s">
        <v>61</v>
      </c>
    </row>
    <row r="113" spans="1:10" ht="18" customHeight="1" thickBot="1" x14ac:dyDescent="0.35">
      <c r="A113" s="1296"/>
      <c r="B113" s="84" t="s">
        <v>0</v>
      </c>
      <c r="C113" s="136" t="s">
        <v>1</v>
      </c>
      <c r="D113" s="136" t="s">
        <v>2</v>
      </c>
      <c r="E113" s="1274"/>
      <c r="F113" s="1274"/>
      <c r="G113" s="1274"/>
      <c r="H113" s="1274"/>
      <c r="I113" s="1276"/>
      <c r="J113" s="1278"/>
    </row>
    <row r="114" spans="1:10" x14ac:dyDescent="0.3">
      <c r="A114" s="1297" t="s">
        <v>128</v>
      </c>
      <c r="B114" s="357" t="s">
        <v>185</v>
      </c>
      <c r="C114" s="1323" t="s">
        <v>186</v>
      </c>
      <c r="D114" s="756" t="s">
        <v>17</v>
      </c>
      <c r="E114" s="221">
        <f>'4. 서울Y 봉천종합사회복지관'!D53+'5. 강서종합사회복지관(총괄)'!D53+'6.강서구지역자활센터(장기요양사업)'!D53+'8.은학의집(총괄)'!D53+'9.울산씨밀레'!D53</f>
        <v>3995693090</v>
      </c>
      <c r="F114" s="221">
        <f>'4. 서울Y 봉천종합사회복지관'!E53+'5. 강서종합사회복지관(총괄)'!E53+'6.강서구지역자활센터(장기요양사업)'!E53+'8.은학의집(총괄)'!E53+'9.울산씨밀레'!E53</f>
        <v>3413413427</v>
      </c>
      <c r="G114" s="221">
        <f>'4. 서울Y 봉천종합사회복지관'!F53+'5. 강서종합사회복지관(총괄)'!F53+'9.울산씨밀레'!F53</f>
        <v>1857972080</v>
      </c>
      <c r="H114" s="541">
        <f>G114-E114</f>
        <v>-2137721010</v>
      </c>
      <c r="I114" s="453">
        <f>H114/E114*100%</f>
        <v>-0.53500630850504083</v>
      </c>
      <c r="J114" s="544"/>
    </row>
    <row r="115" spans="1:10" x14ac:dyDescent="0.3">
      <c r="A115" s="1298"/>
      <c r="B115" s="328"/>
      <c r="C115" s="1289"/>
      <c r="D115" s="750" t="s">
        <v>32</v>
      </c>
      <c r="E115" s="221">
        <f>'4. 서울Y 봉천종합사회복지관'!D54+'5. 강서종합사회복지관(총괄)'!D54+'6.강서구지역자활센터(장기요양사업)'!D54+'8.은학의집(총괄)'!D54+'9.울산씨밀레'!D54</f>
        <v>938383670</v>
      </c>
      <c r="F115" s="221">
        <f>'4. 서울Y 봉천종합사회복지관'!E54+'5. 강서종합사회복지관(총괄)'!E54+'6.강서구지역자활센터(장기요양사업)'!E54+'8.은학의집(총괄)'!E54+'9.울산씨밀레'!E54</f>
        <v>770737611</v>
      </c>
      <c r="G115" s="221">
        <f>'4. 서울Y 봉천종합사회복지관'!F54+'5. 강서종합사회복지관(총괄)'!F54+'9.울산씨밀레'!F54</f>
        <v>363795190</v>
      </c>
      <c r="H115" s="77">
        <f t="shared" ref="H115:H179" si="47">G115-E115</f>
        <v>-574588480</v>
      </c>
      <c r="I115" s="130">
        <f t="shared" ref="I115:I180" si="48">H115/E115*100%</f>
        <v>-0.61231721988512433</v>
      </c>
      <c r="J115" s="37"/>
    </row>
    <row r="116" spans="1:10" x14ac:dyDescent="0.3">
      <c r="A116" s="1298"/>
      <c r="B116" s="328"/>
      <c r="C116" s="1289"/>
      <c r="D116" s="750" t="s">
        <v>180</v>
      </c>
      <c r="E116" s="221">
        <f>'4. 서울Y 봉천종합사회복지관'!D55+'5. 강서종합사회복지관(총괄)'!D55+'6.강서구지역자활센터(장기요양사업)'!D55+'8.은학의집(총괄)'!D55+'9.울산씨밀레'!D55</f>
        <v>12000000</v>
      </c>
      <c r="F116" s="221">
        <f>'4. 서울Y 봉천종합사회복지관'!E55+'5. 강서종합사회복지관(총괄)'!E55+'6.강서구지역자활센터(장기요양사업)'!E55+'8.은학의집(총괄)'!E55+'9.울산씨밀레'!E55</f>
        <v>4972400</v>
      </c>
      <c r="G116" s="885">
        <f>'4. 서울Y 봉천종합사회복지관'!F55+'5. 강서종합사회복지관(총괄)'!F55+'9.울산씨밀레'!F55</f>
        <v>0</v>
      </c>
      <c r="H116" s="77">
        <f t="shared" si="47"/>
        <v>-12000000</v>
      </c>
      <c r="I116" s="130">
        <f t="shared" si="48"/>
        <v>-1</v>
      </c>
      <c r="J116" s="37"/>
    </row>
    <row r="117" spans="1:10" x14ac:dyDescent="0.3">
      <c r="A117" s="1298"/>
      <c r="B117" s="328"/>
      <c r="C117" s="1289"/>
      <c r="D117" s="750" t="s">
        <v>181</v>
      </c>
      <c r="E117" s="221">
        <f>'4. 서울Y 봉천종합사회복지관'!D56+'5. 강서종합사회복지관(총괄)'!D56+'6.강서구지역자활센터(장기요양사업)'!D56+'8.은학의집(총괄)'!D56+'9.울산씨밀레'!D56</f>
        <v>406164570</v>
      </c>
      <c r="F117" s="221">
        <f>'4. 서울Y 봉천종합사회복지관'!E56+'5. 강서종합사회복지관(총괄)'!E56+'6.강서구지역자활센터(장기요양사업)'!E56+'8.은학의집(총괄)'!E56+'9.울산씨밀레'!E56</f>
        <v>343093705</v>
      </c>
      <c r="G117" s="221">
        <f>'4. 서울Y 봉천종합사회복지관'!F56+'5. 강서종합사회복지관(총괄)'!F56+'9.울산씨밀레'!F56</f>
        <v>193069420</v>
      </c>
      <c r="H117" s="77">
        <f t="shared" si="47"/>
        <v>-213095150</v>
      </c>
      <c r="I117" s="130">
        <f t="shared" si="48"/>
        <v>-0.52465223640752323</v>
      </c>
      <c r="J117" s="37"/>
    </row>
    <row r="118" spans="1:10" x14ac:dyDescent="0.3">
      <c r="A118" s="1298"/>
      <c r="B118" s="328"/>
      <c r="C118" s="1289"/>
      <c r="D118" s="750" t="s">
        <v>33</v>
      </c>
      <c r="E118" s="221">
        <f>'4. 서울Y 봉천종합사회복지관'!D57+'5. 강서종합사회복지관(총괄)'!D57+'6.강서구지역자활센터(장기요양사업)'!D57+'8.은학의집(총괄)'!D57+'9.울산씨밀레'!D57</f>
        <v>491816940</v>
      </c>
      <c r="F118" s="221">
        <f>'4. 서울Y 봉천종합사회복지관'!E57+'5. 강서종합사회복지관(총괄)'!E57+'6.강서구지역자활센터(장기요양사업)'!E57+'8.은학의집(총괄)'!E57+'9.울산씨밀레'!E57</f>
        <v>360248860</v>
      </c>
      <c r="G118" s="221">
        <f>'4. 서울Y 봉천종합사회복지관'!F57+'5. 강서종합사회복지관(총괄)'!F57+'9.울산씨밀레'!F57</f>
        <v>219287510</v>
      </c>
      <c r="H118" s="77">
        <f t="shared" si="47"/>
        <v>-272529430</v>
      </c>
      <c r="I118" s="130">
        <f t="shared" si="48"/>
        <v>-0.55412778177181132</v>
      </c>
      <c r="J118" s="37"/>
    </row>
    <row r="119" spans="1:10" x14ac:dyDescent="0.3">
      <c r="A119" s="1298"/>
      <c r="B119" s="328"/>
      <c r="C119" s="1289"/>
      <c r="D119" s="329" t="s">
        <v>18</v>
      </c>
      <c r="E119" s="221">
        <f>'4. 서울Y 봉천종합사회복지관'!D58+'5. 강서종합사회복지관(총괄)'!D58+'6.강서구지역자활센터(장기요양사업)'!D58+'8.은학의집(총괄)'!D58+'9.울산씨밀레'!D58</f>
        <v>62767340</v>
      </c>
      <c r="F119" s="221">
        <f>'4. 서울Y 봉천종합사회복지관'!E58+'5. 강서종합사회복지관(총괄)'!E58+'6.강서구지역자활센터(장기요양사업)'!E58+'8.은학의집(총괄)'!E58+'9.울산씨밀레'!E58</f>
        <v>15048460</v>
      </c>
      <c r="G119" s="221">
        <f>'4. 서울Y 봉천종합사회복지관'!F58+'5. 강서종합사회복지관(총괄)'!F58+'9.울산씨밀레'!F58</f>
        <v>16855620</v>
      </c>
      <c r="H119" s="35">
        <f t="shared" si="47"/>
        <v>-45911720</v>
      </c>
      <c r="I119" s="130">
        <f t="shared" si="48"/>
        <v>-0.73145874908829978</v>
      </c>
      <c r="J119" s="37"/>
    </row>
    <row r="120" spans="1:10" ht="17.25" thickBot="1" x14ac:dyDescent="0.35">
      <c r="A120" s="1298"/>
      <c r="B120" s="328"/>
      <c r="C120" s="1324"/>
      <c r="D120" s="939" t="s">
        <v>735</v>
      </c>
      <c r="E120" s="539">
        <f>SUM(E114:E119)</f>
        <v>5906825610</v>
      </c>
      <c r="F120" s="611">
        <f t="shared" ref="F120:G120" si="49">SUM(F114:F119)</f>
        <v>4907514463</v>
      </c>
      <c r="G120" s="611">
        <f t="shared" si="49"/>
        <v>2650979820</v>
      </c>
      <c r="H120" s="605">
        <f t="shared" si="47"/>
        <v>-3255845790</v>
      </c>
      <c r="I120" s="540">
        <f t="shared" si="48"/>
        <v>-0.55120059486570827</v>
      </c>
      <c r="J120" s="41"/>
    </row>
    <row r="121" spans="1:10" x14ac:dyDescent="0.3">
      <c r="A121" s="1298"/>
      <c r="B121" s="328"/>
      <c r="C121" s="1323" t="s">
        <v>187</v>
      </c>
      <c r="D121" s="475" t="s">
        <v>19</v>
      </c>
      <c r="E121" s="566">
        <f>'4. 서울Y 봉천종합사회복지관'!D60+'5. 강서종합사회복지관(총괄)'!D60+'6.강서구지역자활센터(장기요양사업)'!D60+'8.은학의집(총괄)'!D60+'9.울산씨밀레'!D60</f>
        <v>19778000</v>
      </c>
      <c r="F121" s="566">
        <f>'4. 서울Y 봉천종합사회복지관'!E60+'5. 강서종합사회복지관(총괄)'!E60+'6.강서구지역자활센터(장기요양사업)'!E60+'8.은학의집(총괄)'!E60+'9.울산씨밀레'!E60</f>
        <v>4635070</v>
      </c>
      <c r="G121" s="221">
        <f>'4. 서울Y 봉천종합사회복지관'!F60+'5. 강서종합사회복지관(총괄)'!F60+'9.울산씨밀레'!F60</f>
        <v>7341000</v>
      </c>
      <c r="H121" s="541">
        <f t="shared" si="47"/>
        <v>-12437000</v>
      </c>
      <c r="I121" s="453">
        <f t="shared" si="48"/>
        <v>-0.62883001314591969</v>
      </c>
      <c r="J121" s="544"/>
    </row>
    <row r="122" spans="1:10" x14ac:dyDescent="0.3">
      <c r="A122" s="1298"/>
      <c r="B122" s="328"/>
      <c r="C122" s="1289"/>
      <c r="D122" s="808" t="s">
        <v>182</v>
      </c>
      <c r="E122" s="209">
        <f>'4. 서울Y 봉천종합사회복지관'!D61+'5. 강서종합사회복지관(총괄)'!D61+'6.강서구지역자활센터(장기요양사업)'!D61+'8.은학의집(총괄)'!D61+'9.울산씨밀레'!D61</f>
        <v>19800000</v>
      </c>
      <c r="F122" s="209">
        <f>'4. 서울Y 봉천종합사회복지관'!E61+'5. 강서종합사회복지관(총괄)'!E61+'6.강서구지역자활센터(장기요양사업)'!E61+'8.은학의집(총괄)'!E61+'9.울산씨밀레'!E61</f>
        <v>17631780</v>
      </c>
      <c r="G122" s="44">
        <f>'4. 서울Y 봉천종합사회복지관'!F61+'5. 강서종합사회복지관(총괄)'!F61+'9.울산씨밀레'!F61</f>
        <v>4200000</v>
      </c>
      <c r="H122" s="77">
        <f t="shared" si="47"/>
        <v>-15600000</v>
      </c>
      <c r="I122" s="130">
        <f t="shared" si="48"/>
        <v>-0.78787878787878785</v>
      </c>
      <c r="J122" s="37"/>
    </row>
    <row r="123" spans="1:10" x14ac:dyDescent="0.3">
      <c r="A123" s="1298"/>
      <c r="B123" s="328"/>
      <c r="C123" s="1289"/>
      <c r="D123" s="329" t="s">
        <v>20</v>
      </c>
      <c r="E123" s="1071">
        <f>'4. 서울Y 봉천종합사회복지관'!D62+'5. 강서종합사회복지관(총괄)'!D62+'6.강서구지역자활센터(장기요양사업)'!D62+'8.은학의집(총괄)'!D62+'9.울산씨밀레'!D62</f>
        <v>54320000</v>
      </c>
      <c r="F123" s="213">
        <f>'4. 서울Y 봉천종합사회복지관'!E62+'5. 강서종합사회복지관(총괄)'!E62+'6.강서구지역자활센터(장기요양사업)'!E62+'8.은학의집(총괄)'!E62+'9.울산씨밀레'!E62</f>
        <v>7873145</v>
      </c>
      <c r="G123" s="44">
        <f>'4. 서울Y 봉천종합사회복지관'!F62+'5. 강서종합사회복지관(총괄)'!F62+'9.울산씨밀레'!F62</f>
        <v>9000000</v>
      </c>
      <c r="H123" s="77">
        <f t="shared" si="47"/>
        <v>-45320000</v>
      </c>
      <c r="I123" s="130">
        <f t="shared" si="48"/>
        <v>-0.83431516936671579</v>
      </c>
      <c r="J123" s="37"/>
    </row>
    <row r="124" spans="1:10" ht="17.25" thickBot="1" x14ac:dyDescent="0.35">
      <c r="A124" s="1298"/>
      <c r="B124" s="328"/>
      <c r="C124" s="1324"/>
      <c r="D124" s="939" t="s">
        <v>735</v>
      </c>
      <c r="E124" s="539">
        <f>SUM(E121:E123)</f>
        <v>93898000</v>
      </c>
      <c r="F124" s="611">
        <f t="shared" ref="F124:G124" si="50">SUM(F121:F123)</f>
        <v>30139995</v>
      </c>
      <c r="G124" s="539">
        <f t="shared" si="50"/>
        <v>20541000</v>
      </c>
      <c r="H124" s="605">
        <f t="shared" si="47"/>
        <v>-73357000</v>
      </c>
      <c r="I124" s="540">
        <f t="shared" si="48"/>
        <v>-0.78124134699354619</v>
      </c>
      <c r="J124" s="41"/>
    </row>
    <row r="125" spans="1:10" x14ac:dyDescent="0.3">
      <c r="A125" s="1298"/>
      <c r="B125" s="328"/>
      <c r="C125" s="1323" t="s">
        <v>188</v>
      </c>
      <c r="D125" s="578" t="s">
        <v>21</v>
      </c>
      <c r="E125" s="758">
        <f>'4. 서울Y 봉천종합사회복지관'!D64+'5. 강서종합사회복지관(총괄)'!D64+'6.강서구지역자활센터(장기요양사업)'!D64+'8.은학의집(총괄)'!D64+'9.울산씨밀레'!D64</f>
        <v>19260000</v>
      </c>
      <c r="F125" s="758">
        <f>'4. 서울Y 봉천종합사회복지관'!E64+'5. 강서종합사회복지관(총괄)'!E64+'6.강서구지역자활센터(장기요양사업)'!E64+'8.은학의집(총괄)'!E64+'9.울산씨밀레'!E64</f>
        <v>7659670</v>
      </c>
      <c r="G125" s="758">
        <f>'4. 서울Y 봉천종합사회복지관'!F64+'5. 강서종합사회복지관(총괄)'!F64+'9.울산씨밀레'!F64</f>
        <v>10524070</v>
      </c>
      <c r="H125" s="43">
        <f t="shared" si="47"/>
        <v>-8735930</v>
      </c>
      <c r="I125" s="453">
        <f t="shared" si="48"/>
        <v>-0.45357892004153688</v>
      </c>
      <c r="J125" s="544"/>
    </row>
    <row r="126" spans="1:10" x14ac:dyDescent="0.3">
      <c r="A126" s="1298"/>
      <c r="B126" s="328"/>
      <c r="C126" s="1289"/>
      <c r="D126" s="750" t="s">
        <v>34</v>
      </c>
      <c r="E126" s="884">
        <f>'4. 서울Y 봉천종합사회복지관'!D65+'5. 강서종합사회복지관(총괄)'!D65+'6.강서구지역자활센터(장기요양사업)'!D65+'8.은학의집(총괄)'!D65+'9.울산씨밀레'!D65</f>
        <v>176426602</v>
      </c>
      <c r="F126" s="884">
        <f>'4. 서울Y 봉천종합사회복지관'!E65+'5. 강서종합사회복지관(총괄)'!E65+'6.강서구지역자활센터(장기요양사업)'!E65+'8.은학의집(총괄)'!E65+'9.울산씨밀레'!E65</f>
        <v>106772144</v>
      </c>
      <c r="G126" s="884">
        <f>'4. 서울Y 봉천종합사회복지관'!F65+'5. 강서종합사회복지관(총괄)'!F65+'9.울산씨밀레'!F65</f>
        <v>99534823</v>
      </c>
      <c r="H126" s="77">
        <f t="shared" si="47"/>
        <v>-76891779</v>
      </c>
      <c r="I126" s="130">
        <f t="shared" si="48"/>
        <v>-0.43582871363129239</v>
      </c>
      <c r="J126" s="37"/>
    </row>
    <row r="127" spans="1:10" x14ac:dyDescent="0.3">
      <c r="A127" s="1298"/>
      <c r="B127" s="328"/>
      <c r="C127" s="1289"/>
      <c r="D127" s="750" t="s">
        <v>23</v>
      </c>
      <c r="E127" s="884">
        <f>'4. 서울Y 봉천종합사회복지관'!D66+'5. 강서종합사회복지관(총괄)'!D66+'6.강서구지역자활센터(장기요양사업)'!D66+'8.은학의집(총괄)'!D66+'9.울산씨밀레'!D66</f>
        <v>388842000</v>
      </c>
      <c r="F127" s="884">
        <f>'4. 서울Y 봉천종합사회복지관'!E66+'5. 강서종합사회복지관(총괄)'!E66+'6.강서구지역자활센터(장기요양사업)'!E66+'8.은학의집(총괄)'!E66+'9.울산씨밀레'!E66</f>
        <v>175209886</v>
      </c>
      <c r="G127" s="884">
        <f>'4. 서울Y 봉천종합사회복지관'!F66+'5. 강서종합사회복지관(총괄)'!F66+'9.울산씨밀레'!F66</f>
        <v>89228520</v>
      </c>
      <c r="H127" s="77">
        <f t="shared" si="47"/>
        <v>-299613480</v>
      </c>
      <c r="I127" s="130">
        <f t="shared" si="48"/>
        <v>-0.77052756646658538</v>
      </c>
      <c r="J127" s="37"/>
    </row>
    <row r="128" spans="1:10" x14ac:dyDescent="0.3">
      <c r="A128" s="1298"/>
      <c r="B128" s="328"/>
      <c r="C128" s="1289"/>
      <c r="D128" s="750" t="s">
        <v>24</v>
      </c>
      <c r="E128" s="884">
        <f>'4. 서울Y 봉천종합사회복지관'!D67+'5. 강서종합사회복지관(총괄)'!D67+'6.강서구지역자활센터(장기요양사업)'!D67+'8.은학의집(총괄)'!D67+'9.울산씨밀레'!D67</f>
        <v>52061090</v>
      </c>
      <c r="F128" s="884">
        <f>'4. 서울Y 봉천종합사회복지관'!E67+'5. 강서종합사회복지관(총괄)'!E67+'6.강서구지역자활센터(장기요양사업)'!E67+'8.은학의집(총괄)'!E67+'9.울산씨밀레'!E67</f>
        <v>44595350</v>
      </c>
      <c r="G128" s="884">
        <f>'4. 서울Y 봉천종합사회복지관'!F67+'5. 강서종합사회복지관(총괄)'!F67+'9.울산씨밀레'!F67</f>
        <v>48344040</v>
      </c>
      <c r="H128" s="77">
        <f t="shared" si="47"/>
        <v>-3717050</v>
      </c>
      <c r="I128" s="130">
        <f t="shared" si="48"/>
        <v>-7.1397852023459357E-2</v>
      </c>
      <c r="J128" s="37"/>
    </row>
    <row r="129" spans="1:10" x14ac:dyDescent="0.3">
      <c r="A129" s="1298"/>
      <c r="B129" s="358"/>
      <c r="C129" s="1289"/>
      <c r="D129" s="750" t="s">
        <v>35</v>
      </c>
      <c r="E129" s="884">
        <f>'4. 서울Y 봉천종합사회복지관'!D68+'5. 강서종합사회복지관(총괄)'!D68+'6.강서구지역자활센터(장기요양사업)'!D68+'8.은학의집(총괄)'!D68+'9.울산씨밀레'!D68</f>
        <v>88147500</v>
      </c>
      <c r="F129" s="884">
        <f>'4. 서울Y 봉천종합사회복지관'!E68+'5. 강서종합사회복지관(총괄)'!E68+'6.강서구지역자활센터(장기요양사업)'!E68+'8.은학의집(총괄)'!E68+'9.울산씨밀레'!E68</f>
        <v>34366237</v>
      </c>
      <c r="G129" s="884">
        <f>'4. 서울Y 봉천종합사회복지관'!F68+'5. 강서종합사회복지관(총괄)'!F68+'9.울산씨밀레'!F68</f>
        <v>28740049</v>
      </c>
      <c r="H129" s="156">
        <f t="shared" si="47"/>
        <v>-59407451</v>
      </c>
      <c r="I129" s="130">
        <f t="shared" si="48"/>
        <v>-0.67395502992143852</v>
      </c>
      <c r="J129" s="76"/>
    </row>
    <row r="130" spans="1:10" x14ac:dyDescent="0.3">
      <c r="A130" s="1298"/>
      <c r="B130" s="358"/>
      <c r="C130" s="1289"/>
      <c r="D130" s="1072" t="s">
        <v>709</v>
      </c>
      <c r="E130" s="884">
        <f>'4. 서울Y 봉천종합사회복지관'!D69+'5. 강서종합사회복지관(총괄)'!D69+'6.강서구지역자활센터(장기요양사업)'!D69+'8.은학의집(총괄)'!D69+'9.울산씨밀레'!D69</f>
        <v>5343000</v>
      </c>
      <c r="F130" s="884">
        <f>'4. 서울Y 봉천종합사회복지관'!E69+'5. 강서종합사회복지관(총괄)'!E69+'6.강서구지역자활센터(장기요양사업)'!E69+'8.은학의집(총괄)'!E69+'9.울산씨밀레'!E69</f>
        <v>3343000</v>
      </c>
      <c r="G130" s="884">
        <f>'4. 서울Y 봉천종합사회복지관'!F69+'5. 강서종합사회복지관(총괄)'!F69+'9.울산씨밀레'!F69</f>
        <v>3343000</v>
      </c>
      <c r="H130" s="1073">
        <f t="shared" si="47"/>
        <v>-2000000</v>
      </c>
      <c r="I130" s="130">
        <f t="shared" si="48"/>
        <v>-0.37432154220475389</v>
      </c>
      <c r="J130" s="83"/>
    </row>
    <row r="131" spans="1:10" x14ac:dyDescent="0.3">
      <c r="A131" s="1298"/>
      <c r="B131" s="358"/>
      <c r="C131" s="1289"/>
      <c r="D131" s="1072" t="s">
        <v>36</v>
      </c>
      <c r="E131" s="884">
        <f>'4. 서울Y 봉천종합사회복지관'!D70+'5. 강서종합사회복지관(총괄)'!D70+'6.강서구지역자활센터(장기요양사업)'!D70+'8.은학의집(총괄)'!D70+'9.울산씨밀레'!D70</f>
        <v>281445000</v>
      </c>
      <c r="F131" s="884">
        <f>'4. 서울Y 봉천종합사회복지관'!E70+'5. 강서종합사회복지관(총괄)'!E70+'6.강서구지역자활센터(장기요양사업)'!E70+'8.은학의집(총괄)'!E70+'9.울산씨밀레'!E70</f>
        <v>105092290</v>
      </c>
      <c r="G131" s="884">
        <f>'4. 서울Y 봉천종합사회복지관'!F70+'5. 강서종합사회복지관(총괄)'!F70+'9.울산씨밀레'!F70</f>
        <v>65926840</v>
      </c>
      <c r="H131" s="44">
        <f t="shared" si="47"/>
        <v>-215518160</v>
      </c>
      <c r="I131" s="130">
        <f t="shared" si="48"/>
        <v>-0.76575586704329446</v>
      </c>
      <c r="J131" s="514" t="s">
        <v>361</v>
      </c>
    </row>
    <row r="132" spans="1:10" ht="17.25" thickBot="1" x14ac:dyDescent="0.35">
      <c r="A132" s="1298"/>
      <c r="B132" s="358"/>
      <c r="C132" s="1324"/>
      <c r="D132" s="939" t="s">
        <v>735</v>
      </c>
      <c r="E132" s="580">
        <f>SUM(E125:E131)</f>
        <v>1011525192</v>
      </c>
      <c r="F132" s="580">
        <f t="shared" ref="F132:G132" si="51">SUM(F125:F131)</f>
        <v>477038577</v>
      </c>
      <c r="G132" s="580">
        <f t="shared" si="51"/>
        <v>345641342</v>
      </c>
      <c r="H132" s="605">
        <f t="shared" si="47"/>
        <v>-665883850</v>
      </c>
      <c r="I132" s="540">
        <f t="shared" si="48"/>
        <v>-0.65829685238328695</v>
      </c>
      <c r="J132" s="42"/>
    </row>
    <row r="133" spans="1:10" ht="17.25" thickBot="1" x14ac:dyDescent="0.35">
      <c r="A133" s="1298"/>
      <c r="B133" s="359" t="s">
        <v>123</v>
      </c>
      <c r="C133" s="1321" t="s">
        <v>660</v>
      </c>
      <c r="D133" s="1322"/>
      <c r="E133" s="582">
        <f>SUM(E120,E124,E132)</f>
        <v>7012248802</v>
      </c>
      <c r="F133" s="582">
        <f>SUM(F120,F124,F132)</f>
        <v>5414693035</v>
      </c>
      <c r="G133" s="582">
        <f>SUM(G120,G124,G132)</f>
        <v>3017162162</v>
      </c>
      <c r="H133" s="605">
        <f t="shared" si="47"/>
        <v>-3995086640</v>
      </c>
      <c r="I133" s="584">
        <f t="shared" si="48"/>
        <v>-0.56972973332899146</v>
      </c>
      <c r="J133" s="41"/>
    </row>
    <row r="134" spans="1:10" x14ac:dyDescent="0.3">
      <c r="A134" s="1298"/>
      <c r="B134" s="1325" t="s">
        <v>189</v>
      </c>
      <c r="C134" s="1288" t="s">
        <v>190</v>
      </c>
      <c r="D134" s="355" t="s">
        <v>11</v>
      </c>
      <c r="E134" s="809">
        <f>'4. 서울Y 봉천종합사회복지관'!D73+'5. 강서종합사회복지관(총괄)'!D73+'6.강서구지역자활센터(장기요양사업)'!D73+'8.은학의집(총괄)'!D73+'9.울산씨밀레'!D73</f>
        <v>115683300</v>
      </c>
      <c r="F134" s="809">
        <f>'4. 서울Y 봉천종합사회복지관'!E73+'5. 강서종합사회복지관(총괄)'!E73+'6.강서구지역자활센터(장기요양사업)'!E73+'8.은학의집(총괄)'!E73+'9.울산씨밀레'!E73</f>
        <v>38964520</v>
      </c>
      <c r="G134" s="809">
        <f>'4. 서울Y 봉천종합사회복지관'!F73+'5. 강서종합사회복지관(총괄)'!F73+'9.울산씨밀레'!F73</f>
        <v>47315370</v>
      </c>
      <c r="H134" s="612">
        <f t="shared" si="47"/>
        <v>-68367930</v>
      </c>
      <c r="I134" s="130">
        <f t="shared" si="48"/>
        <v>-0.59099221754566134</v>
      </c>
      <c r="J134" s="37"/>
    </row>
    <row r="135" spans="1:10" x14ac:dyDescent="0.3">
      <c r="A135" s="1298"/>
      <c r="B135" s="1325"/>
      <c r="C135" s="1288"/>
      <c r="D135" s="474" t="s">
        <v>333</v>
      </c>
      <c r="E135" s="44">
        <f>'4. 서울Y 봉천종합사회복지관'!D74+'5. 강서종합사회복지관(총괄)'!D74+'6.강서구지역자활센터(장기요양사업)'!D74+'8.은학의집(총괄)'!D74+'9.울산씨밀레'!D74</f>
        <v>60000000</v>
      </c>
      <c r="F135" s="44">
        <f>'4. 서울Y 봉천종합사회복지관'!E74+'5. 강서종합사회복지관(총괄)'!E74+'6.강서구지역자활센터(장기요양사업)'!E74+'8.은학의집(총괄)'!E74+'9.울산씨밀레'!E74</f>
        <v>13060000</v>
      </c>
      <c r="G135" s="884">
        <f>'4. 서울Y 봉천종합사회복지관'!F74+'5. 강서종합사회복지관(총괄)'!F74+'9.울산씨밀레'!F74</f>
        <v>0</v>
      </c>
      <c r="H135" s="77">
        <f t="shared" si="47"/>
        <v>-60000000</v>
      </c>
      <c r="I135" s="130">
        <f t="shared" si="48"/>
        <v>-1</v>
      </c>
      <c r="J135" s="37"/>
    </row>
    <row r="136" spans="1:10" x14ac:dyDescent="0.3">
      <c r="A136" s="1298"/>
      <c r="B136" s="1326"/>
      <c r="C136" s="1289"/>
      <c r="D136" s="356" t="s">
        <v>37</v>
      </c>
      <c r="E136" s="810">
        <f>'4. 서울Y 봉천종합사회복지관'!D75+'5. 강서종합사회복지관(총괄)'!D75+'6.강서구지역자활센터(장기요양사업)'!D75+'8.은학의집(총괄)'!D75+'9.울산씨밀레'!D75</f>
        <v>269683996</v>
      </c>
      <c r="F136" s="810">
        <f>'4. 서울Y 봉천종합사회복지관'!E75+'5. 강서종합사회복지관(총괄)'!E75+'6.강서구지역자활센터(장기요양사업)'!E75+'8.은학의집(총괄)'!E75+'9.울산씨밀레'!E75</f>
        <v>120901060</v>
      </c>
      <c r="G136" s="810">
        <f>'4. 서울Y 봉천종합사회복지관'!F75+'5. 강서종합사회복지관(총괄)'!F75+'9.울산씨밀레'!F75</f>
        <v>221846094</v>
      </c>
      <c r="H136" s="35">
        <f t="shared" si="47"/>
        <v>-47837902</v>
      </c>
      <c r="I136" s="130">
        <f t="shared" si="48"/>
        <v>-0.17738502361853167</v>
      </c>
      <c r="J136" s="37"/>
    </row>
    <row r="137" spans="1:10" ht="17.25" thickBot="1" x14ac:dyDescent="0.35">
      <c r="A137" s="1298"/>
      <c r="B137" s="1327"/>
      <c r="C137" s="1300" t="s">
        <v>465</v>
      </c>
      <c r="D137" s="1301"/>
      <c r="E137" s="888">
        <f>SUM(E134:E136)</f>
        <v>445367296</v>
      </c>
      <c r="F137" s="888">
        <f t="shared" ref="F137:G137" si="52">SUM(F134:F136)</f>
        <v>172925580</v>
      </c>
      <c r="G137" s="888">
        <f t="shared" si="52"/>
        <v>269161464</v>
      </c>
      <c r="H137" s="605">
        <f t="shared" si="47"/>
        <v>-176205832</v>
      </c>
      <c r="I137" s="572">
        <f t="shared" si="48"/>
        <v>-0.39564160544019827</v>
      </c>
      <c r="J137" s="42"/>
    </row>
    <row r="138" spans="1:10" x14ac:dyDescent="0.3">
      <c r="A138" s="1298"/>
      <c r="B138" s="1302" t="s">
        <v>270</v>
      </c>
      <c r="C138" s="1305" t="s">
        <v>131</v>
      </c>
      <c r="D138" s="585" t="s">
        <v>132</v>
      </c>
      <c r="E138" s="809">
        <f>'4. 서울Y 봉천종합사회복지관'!D77+'5. 강서종합사회복지관(총괄)'!D77+'6.강서구지역자활센터(장기요양사업)'!D77+'8.은학의집(총괄)'!D77+'9.울산씨밀레'!D77</f>
        <v>230002980</v>
      </c>
      <c r="F138" s="809">
        <f>'4. 서울Y 봉천종합사회복지관'!E77+'5. 강서종합사회복지관(총괄)'!E77+'6.강서구지역자활센터(장기요양사업)'!E77+'8.은학의집(총괄)'!E77+'9.울산씨밀레'!E77</f>
        <v>159100629</v>
      </c>
      <c r="G138" s="809">
        <f>'4. 서울Y 봉천종합사회복지관'!F77+'5. 강서종합사회복지관(총괄)'!F77+'9.울산씨밀레'!F77</f>
        <v>22393000</v>
      </c>
      <c r="H138" s="70">
        <f t="shared" si="47"/>
        <v>-207609980</v>
      </c>
      <c r="I138" s="453">
        <f t="shared" si="48"/>
        <v>-0.90264039187666179</v>
      </c>
      <c r="J138" s="79"/>
    </row>
    <row r="139" spans="1:10" x14ac:dyDescent="0.3">
      <c r="A139" s="1298"/>
      <c r="B139" s="1303"/>
      <c r="C139" s="1306"/>
      <c r="D139" s="477" t="s">
        <v>133</v>
      </c>
      <c r="E139" s="44">
        <f>'4. 서울Y 봉천종합사회복지관'!D78+'5. 강서종합사회복지관(총괄)'!D78+'6.강서구지역자활센터(장기요양사업)'!D78+'8.은학의집(총괄)'!D78+'9.울산씨밀레'!D78</f>
        <v>55080000</v>
      </c>
      <c r="F139" s="44">
        <f>'4. 서울Y 봉천종합사회복지관'!E78+'5. 강서종합사회복지관(총괄)'!E78+'6.강서구지역자활센터(장기요양사업)'!E78+'8.은학의집(총괄)'!E78+'9.울산씨밀레'!E78</f>
        <v>22631530</v>
      </c>
      <c r="G139" s="44">
        <f>'4. 서울Y 봉천종합사회복지관'!F78+'5. 강서종합사회복지관(총괄)'!F78+'9.울산씨밀레'!F78</f>
        <v>3305000</v>
      </c>
      <c r="H139" s="44">
        <f t="shared" si="47"/>
        <v>-51775000</v>
      </c>
      <c r="I139" s="130">
        <f t="shared" si="48"/>
        <v>-0.93999636891793759</v>
      </c>
      <c r="J139" s="240"/>
    </row>
    <row r="140" spans="1:10" x14ac:dyDescent="0.3">
      <c r="A140" s="1298"/>
      <c r="B140" s="1303"/>
      <c r="C140" s="1306"/>
      <c r="D140" s="477" t="s">
        <v>194</v>
      </c>
      <c r="E140" s="44">
        <f>'4. 서울Y 봉천종합사회복지관'!D79+'5. 강서종합사회복지관(총괄)'!D79+'6.강서구지역자활센터(장기요양사업)'!D79+'8.은학의집(총괄)'!D79+'9.울산씨밀레'!D79</f>
        <v>550000</v>
      </c>
      <c r="F140" s="884">
        <f>'4. 서울Y 봉천종합사회복지관'!E79+'5. 강서종합사회복지관(총괄)'!E79+'6.강서구지역자활센터(장기요양사업)'!E79+'8.은학의집(총괄)'!E79+'9.울산씨밀레'!E79</f>
        <v>0</v>
      </c>
      <c r="G140" s="44">
        <f>'4. 서울Y 봉천종합사회복지관'!F79+'5. 강서종합사회복지관(총괄)'!F79+'9.울산씨밀레'!F79</f>
        <v>550000</v>
      </c>
      <c r="H140" s="884">
        <f t="shared" si="47"/>
        <v>0</v>
      </c>
      <c r="I140" s="130">
        <f t="shared" si="48"/>
        <v>0</v>
      </c>
      <c r="J140" s="240"/>
    </row>
    <row r="141" spans="1:10" x14ac:dyDescent="0.3">
      <c r="A141" s="1298"/>
      <c r="B141" s="1303"/>
      <c r="C141" s="1306"/>
      <c r="D141" s="230" t="s">
        <v>134</v>
      </c>
      <c r="E141" s="44">
        <f>'4. 서울Y 봉천종합사회복지관'!D80+'5. 강서종합사회복지관(총괄)'!D80+'6.강서구지역자활센터(장기요양사업)'!D80+'8.은학의집(총괄)'!D80+'9.울산씨밀레'!D80</f>
        <v>21000000</v>
      </c>
      <c r="F141" s="44">
        <f>'4. 서울Y 봉천종합사회복지관'!E80+'5. 강서종합사회복지관(총괄)'!E80+'6.강서구지역자활센터(장기요양사업)'!E80+'8.은학의집(총괄)'!E80+'9.울산씨밀레'!E80</f>
        <v>4236530</v>
      </c>
      <c r="G141" s="44">
        <f>'4. 서울Y 봉천종합사회복지관'!F80+'5. 강서종합사회복지관(총괄)'!F80+'9.울산씨밀레'!F80</f>
        <v>175000</v>
      </c>
      <c r="H141" s="44">
        <f t="shared" si="47"/>
        <v>-20825000</v>
      </c>
      <c r="I141" s="130">
        <f t="shared" si="48"/>
        <v>-0.9916666666666667</v>
      </c>
      <c r="J141" s="83"/>
    </row>
    <row r="142" spans="1:10" x14ac:dyDescent="0.3">
      <c r="A142" s="1298"/>
      <c r="B142" s="1303"/>
      <c r="C142" s="1306"/>
      <c r="D142" s="230" t="s">
        <v>195</v>
      </c>
      <c r="E142" s="44">
        <f>'4. 서울Y 봉천종합사회복지관'!D81+'5. 강서종합사회복지관(총괄)'!D81+'6.강서구지역자활센터(장기요양사업)'!D81+'8.은학의집(총괄)'!D81+'9.울산씨밀레'!D81</f>
        <v>34605000</v>
      </c>
      <c r="F142" s="44">
        <f>'4. 서울Y 봉천종합사회복지관'!E81+'5. 강서종합사회복지관(총괄)'!E81+'6.강서구지역자활센터(장기요양사업)'!E81+'8.은학의집(총괄)'!E81+'9.울산씨밀레'!E81</f>
        <v>26017745</v>
      </c>
      <c r="G142" s="810">
        <f>'4. 서울Y 봉천종합사회복지관'!F81+'5. 강서종합사회복지관(총괄)'!F81+'9.울산씨밀레'!F81</f>
        <v>300000</v>
      </c>
      <c r="H142" s="44">
        <f t="shared" si="47"/>
        <v>-34305000</v>
      </c>
      <c r="I142" s="130">
        <f t="shared" si="48"/>
        <v>-0.99133073255309923</v>
      </c>
      <c r="J142" s="83"/>
    </row>
    <row r="143" spans="1:10" ht="17.25" thickBot="1" x14ac:dyDescent="0.35">
      <c r="A143" s="1298"/>
      <c r="B143" s="1303"/>
      <c r="C143" s="1307"/>
      <c r="D143" s="1167" t="s">
        <v>706</v>
      </c>
      <c r="E143" s="519">
        <f>SUM(E138:E142)</f>
        <v>341237980</v>
      </c>
      <c r="F143" s="519">
        <f t="shared" ref="F143:G143" si="53">SUM(F138:F142)</f>
        <v>211986434</v>
      </c>
      <c r="G143" s="519">
        <f t="shared" si="53"/>
        <v>26723000</v>
      </c>
      <c r="H143" s="743">
        <f t="shared" si="47"/>
        <v>-314514980</v>
      </c>
      <c r="I143" s="540">
        <f t="shared" si="48"/>
        <v>-0.92168808407551817</v>
      </c>
      <c r="J143" s="81"/>
    </row>
    <row r="144" spans="1:10" x14ac:dyDescent="0.3">
      <c r="A144" s="1298"/>
      <c r="B144" s="1303"/>
      <c r="C144" s="1308"/>
      <c r="D144" s="475" t="s">
        <v>164</v>
      </c>
      <c r="E144" s="221">
        <f>'4. 서울Y 봉천종합사회복지관'!D83+'5. 강서종합사회복지관(총괄)'!D83+'6.강서구지역자활센터(장기요양사업)'!D83+'8.은학의집(총괄)'!D83+'9.울산씨밀레'!D83</f>
        <v>64150000</v>
      </c>
      <c r="F144" s="221">
        <f>'4. 서울Y 봉천종합사회복지관'!E83+'5. 강서종합사회복지관(총괄)'!E83+'6.강서구지역자활센터(장기요양사업)'!E83+'8.은학의집(총괄)'!E83+'9.울산씨밀레'!E83</f>
        <v>29466699</v>
      </c>
      <c r="G144" s="221">
        <f>'4. 서울Y 봉천종합사회복지관'!F83+'5. 강서종합사회복지관(총괄)'!F83+'9.울산씨밀레'!F83</f>
        <v>62200000</v>
      </c>
      <c r="H144" s="70">
        <f t="shared" si="47"/>
        <v>-1950000</v>
      </c>
      <c r="I144" s="453">
        <f t="shared" si="48"/>
        <v>-3.0397505845674203E-2</v>
      </c>
      <c r="J144" s="79"/>
    </row>
    <row r="145" spans="1:10" x14ac:dyDescent="0.3">
      <c r="A145" s="1298"/>
      <c r="B145" s="1303"/>
      <c r="C145" s="1309"/>
      <c r="D145" s="476" t="s">
        <v>191</v>
      </c>
      <c r="E145" s="221">
        <f>'4. 서울Y 봉천종합사회복지관'!D84+'5. 강서종합사회복지관(총괄)'!D84+'6.강서구지역자활센터(장기요양사업)'!D84+'8.은학의집(총괄)'!D84+'9.울산씨밀레'!D84</f>
        <v>974210235</v>
      </c>
      <c r="F145" s="221">
        <f>'4. 서울Y 봉천종합사회복지관'!E84+'5. 강서종합사회복지관(총괄)'!E84+'6.강서구지역자활센터(장기요양사업)'!E84+'8.은학의집(총괄)'!E84+'9.울산씨밀레'!E84</f>
        <v>796418127</v>
      </c>
      <c r="G145" s="221">
        <f>'4. 서울Y 봉천종합사회복지관'!F84+'5. 강서종합사회복지관(총괄)'!F84+'9.울산씨밀레'!F84</f>
        <v>999991585</v>
      </c>
      <c r="H145" s="66">
        <f t="shared" si="47"/>
        <v>25781350</v>
      </c>
      <c r="I145" s="130">
        <f t="shared" si="48"/>
        <v>2.6463846379113438E-2</v>
      </c>
      <c r="J145" s="83"/>
    </row>
    <row r="146" spans="1:10" x14ac:dyDescent="0.3">
      <c r="A146" s="1298"/>
      <c r="B146" s="1303"/>
      <c r="C146" s="1309"/>
      <c r="D146" s="476" t="s">
        <v>192</v>
      </c>
      <c r="E146" s="221">
        <f>'4. 서울Y 봉천종합사회복지관'!D85+'5. 강서종합사회복지관(총괄)'!D85+'6.강서구지역자활센터(장기요양사업)'!D85+'8.은학의집(총괄)'!D85+'9.울산씨밀레'!D85</f>
        <v>303709790</v>
      </c>
      <c r="F146" s="221">
        <f>'4. 서울Y 봉천종합사회복지관'!E85+'5. 강서종합사회복지관(총괄)'!E85+'6.강서구지역자활센터(장기요양사업)'!E85+'8.은학의집(총괄)'!E85+'9.울산씨밀레'!E85</f>
        <v>168362968</v>
      </c>
      <c r="G146" s="221">
        <f>'4. 서울Y 봉천종합사회복지관'!F85+'5. 강서종합사회복지관(총괄)'!F85+'9.울산씨밀레'!F85</f>
        <v>209721890</v>
      </c>
      <c r="H146" s="44">
        <f t="shared" si="47"/>
        <v>-93987900</v>
      </c>
      <c r="I146" s="130">
        <f t="shared" si="48"/>
        <v>-0.30946615188137333</v>
      </c>
      <c r="J146" s="83"/>
    </row>
    <row r="147" spans="1:10" x14ac:dyDescent="0.3">
      <c r="A147" s="1298"/>
      <c r="B147" s="1303"/>
      <c r="C147" s="1309"/>
      <c r="D147" s="476" t="s">
        <v>140</v>
      </c>
      <c r="E147" s="221"/>
      <c r="F147" s="221"/>
      <c r="G147" s="221"/>
      <c r="H147" s="66"/>
      <c r="I147" s="130"/>
      <c r="J147" s="83"/>
    </row>
    <row r="148" spans="1:10" x14ac:dyDescent="0.3">
      <c r="A148" s="1298"/>
      <c r="B148" s="1303"/>
      <c r="C148" s="1309"/>
      <c r="D148" s="476" t="s">
        <v>137</v>
      </c>
      <c r="E148" s="221">
        <f>'4. 서울Y 봉천종합사회복지관'!D87+'5. 강서종합사회복지관(총괄)'!D87+'6.강서구지역자활센터(장기요양사업)'!D87+'8.은학의집(총괄)'!D87+'9.울산씨밀레'!D87</f>
        <v>14249700</v>
      </c>
      <c r="F148" s="221">
        <f>'4. 서울Y 봉천종합사회복지관'!E87+'5. 강서종합사회복지관(총괄)'!E87+'6.강서구지역자활센터(장기요양사업)'!E87+'8.은학의집(총괄)'!E87+'9.울산씨밀레'!E87</f>
        <v>9818220</v>
      </c>
      <c r="G148" s="221">
        <f>'4. 서울Y 봉천종합사회복지관'!F87+'5. 강서종합사회복지관(총괄)'!F87+'9.울산씨밀레'!F87</f>
        <v>9992700</v>
      </c>
      <c r="H148" s="44">
        <f t="shared" si="47"/>
        <v>-4257000</v>
      </c>
      <c r="I148" s="130">
        <f t="shared" si="48"/>
        <v>-0.298743131434346</v>
      </c>
      <c r="J148" s="83"/>
    </row>
    <row r="149" spans="1:10" x14ac:dyDescent="0.3">
      <c r="A149" s="1298"/>
      <c r="B149" s="1303"/>
      <c r="C149" s="1309"/>
      <c r="D149" s="476" t="s">
        <v>141</v>
      </c>
      <c r="E149" s="221">
        <f>'4. 서울Y 봉천종합사회복지관'!D88+'5. 강서종합사회복지관(총괄)'!D88+'6.강서구지역자활센터(장기요양사업)'!D88+'8.은학의집(총괄)'!D88+'9.울산씨밀레'!D88</f>
        <v>114429700</v>
      </c>
      <c r="F149" s="221">
        <f>'4. 서울Y 봉천종합사회복지관'!E88+'5. 강서종합사회복지관(총괄)'!E88+'6.강서구지역자활센터(장기요양사업)'!E88+'8.은학의집(총괄)'!E88+'9.울산씨밀레'!E88</f>
        <v>99519719</v>
      </c>
      <c r="G149" s="221">
        <f>'4. 서울Y 봉천종합사회복지관'!F88+'5. 강서종합사회복지관(총괄)'!F88+'9.울산씨밀레'!F88</f>
        <v>108392700</v>
      </c>
      <c r="H149" s="44">
        <f t="shared" si="47"/>
        <v>-6037000</v>
      </c>
      <c r="I149" s="130">
        <f t="shared" si="48"/>
        <v>-5.2757282418812598E-2</v>
      </c>
      <c r="J149" s="83"/>
    </row>
    <row r="150" spans="1:10" ht="17.25" customHeight="1" x14ac:dyDescent="0.3">
      <c r="A150" s="1298"/>
      <c r="B150" s="1303"/>
      <c r="C150" s="1309"/>
      <c r="D150" s="476" t="s">
        <v>138</v>
      </c>
      <c r="E150" s="221">
        <f>'4. 서울Y 봉천종합사회복지관'!D89+'5. 강서종합사회복지관(총괄)'!D89+'6.강서구지역자활센터(장기요양사업)'!D89+'8.은학의집(총괄)'!D89+'9.울산씨밀레'!D89</f>
        <v>20882740</v>
      </c>
      <c r="F150" s="221">
        <f>'4. 서울Y 봉천종합사회복지관'!E89+'5. 강서종합사회복지관(총괄)'!E89+'6.강서구지역자활센터(장기요양사업)'!E89+'8.은학의집(총괄)'!E89+'9.울산씨밀레'!E89</f>
        <v>14000610</v>
      </c>
      <c r="G150" s="221">
        <f>'4. 서울Y 봉천종합사회복지관'!F89+'5. 강서종합사회복지관(총괄)'!F89+'9.울산씨밀레'!F89</f>
        <v>20566890</v>
      </c>
      <c r="H150" s="44">
        <f t="shared" si="47"/>
        <v>-315850</v>
      </c>
      <c r="I150" s="130">
        <f t="shared" si="48"/>
        <v>-1.5124930923815554E-2</v>
      </c>
      <c r="J150" s="83"/>
    </row>
    <row r="151" spans="1:10" ht="17.25" customHeight="1" x14ac:dyDescent="0.3">
      <c r="A151" s="1298"/>
      <c r="B151" s="1303"/>
      <c r="C151" s="1309"/>
      <c r="D151" s="476" t="s">
        <v>139</v>
      </c>
      <c r="E151" s="221">
        <f>'4. 서울Y 봉천종합사회복지관'!D90+'5. 강서종합사회복지관(총괄)'!D90+'6.강서구지역자활센터(장기요양사업)'!D90+'8.은학의집(총괄)'!D90+'9.울산씨밀레'!D90</f>
        <v>2710000</v>
      </c>
      <c r="F151" s="221">
        <f>'4. 서울Y 봉천종합사회복지관'!E90+'5. 강서종합사회복지관(총괄)'!E90+'6.강서구지역자활센터(장기요양사업)'!E90+'8.은학의집(총괄)'!E90+'9.울산씨밀레'!E90</f>
        <v>1973030</v>
      </c>
      <c r="G151" s="221">
        <f>'4. 서울Y 봉천종합사회복지관'!F90+'5. 강서종합사회복지관(총괄)'!F90+'9.울산씨밀레'!F90</f>
        <v>1985000</v>
      </c>
      <c r="H151" s="44">
        <f t="shared" si="47"/>
        <v>-725000</v>
      </c>
      <c r="I151" s="130">
        <f t="shared" si="48"/>
        <v>-0.26752767527675275</v>
      </c>
      <c r="J151" s="83"/>
    </row>
    <row r="152" spans="1:10" x14ac:dyDescent="0.3">
      <c r="A152" s="1298"/>
      <c r="B152" s="1303"/>
      <c r="C152" s="1309"/>
      <c r="D152" s="476" t="s">
        <v>136</v>
      </c>
      <c r="E152" s="221"/>
      <c r="F152" s="221"/>
      <c r="G152" s="221"/>
      <c r="H152" s="44"/>
      <c r="I152" s="130"/>
      <c r="J152" s="83"/>
    </row>
    <row r="153" spans="1:10" x14ac:dyDescent="0.3">
      <c r="A153" s="1298"/>
      <c r="B153" s="1303"/>
      <c r="C153" s="1309"/>
      <c r="D153" s="476" t="s">
        <v>135</v>
      </c>
      <c r="E153" s="885">
        <f>'4. 서울Y 봉천종합사회복지관'!D92+'5. 강서종합사회복지관(총괄)'!D92+'6.강서구지역자활센터(장기요양사업)'!D92+'8.은학의집(총괄)'!D92+'9.울산씨밀레'!D92</f>
        <v>6000000</v>
      </c>
      <c r="F153" s="885">
        <f>'4. 서울Y 봉천종합사회복지관'!E92+'5. 강서종합사회복지관(총괄)'!E92+'6.강서구지역자활센터(장기요양사업)'!E92+'8.은학의집(총괄)'!E92+'9.울산씨밀레'!E92</f>
        <v>0</v>
      </c>
      <c r="G153" s="885">
        <f>'4. 서울Y 봉천종합사회복지관'!F92+'5. 강서종합사회복지관(총괄)'!F92+'9.울산씨밀레'!F92</f>
        <v>0</v>
      </c>
      <c r="H153" s="44">
        <f t="shared" si="47"/>
        <v>-6000000</v>
      </c>
      <c r="I153" s="130">
        <f t="shared" si="48"/>
        <v>-1</v>
      </c>
      <c r="J153" s="83"/>
    </row>
    <row r="154" spans="1:10" x14ac:dyDescent="0.3">
      <c r="A154" s="1298"/>
      <c r="B154" s="1303"/>
      <c r="C154" s="1309"/>
      <c r="D154" s="476" t="s">
        <v>231</v>
      </c>
      <c r="E154" s="221">
        <f>'4. 서울Y 봉천종합사회복지관'!D93+'5. 강서종합사회복지관(총괄)'!D93+'6.강서구지역자활센터(장기요양사업)'!D93+'8.은학의집(총괄)'!D93+'9.울산씨밀레'!D93</f>
        <v>115640000</v>
      </c>
      <c r="F154" s="221">
        <f>'4. 서울Y 봉천종합사회복지관'!E93+'5. 강서종합사회복지관(총괄)'!E93+'6.강서구지역자활센터(장기요양사업)'!E93+'8.은학의집(총괄)'!E93+'9.울산씨밀레'!E93</f>
        <v>73367731</v>
      </c>
      <c r="G154" s="885">
        <f>'4. 서울Y 봉천종합사회복지관'!F93+'5. 강서종합사회복지관(총괄)'!F93+'9.울산씨밀레'!F93</f>
        <v>0</v>
      </c>
      <c r="H154" s="44">
        <f t="shared" si="47"/>
        <v>-115640000</v>
      </c>
      <c r="I154" s="130">
        <f t="shared" si="48"/>
        <v>-1</v>
      </c>
      <c r="J154" s="83"/>
    </row>
    <row r="155" spans="1:10" x14ac:dyDescent="0.3">
      <c r="A155" s="1298"/>
      <c r="B155" s="1303"/>
      <c r="C155" s="1309"/>
      <c r="D155" s="476" t="s">
        <v>239</v>
      </c>
      <c r="E155" s="221">
        <f>'4. 서울Y 봉천종합사회복지관'!D94+'5. 강서종합사회복지관(총괄)'!D94+'6.강서구지역자활센터(장기요양사업)'!D94+'8.은학의집(총괄)'!D94+'9.울산씨밀레'!D94</f>
        <v>4300000</v>
      </c>
      <c r="F155" s="221">
        <f>'4. 서울Y 봉천종합사회복지관'!E94+'5. 강서종합사회복지관(총괄)'!E94+'6.강서구지역자활센터(장기요양사업)'!E94+'8.은학의집(총괄)'!E94+'9.울산씨밀레'!E94</f>
        <v>184730</v>
      </c>
      <c r="G155" s="885">
        <f>'4. 서울Y 봉천종합사회복지관'!F94+'5. 강서종합사회복지관(총괄)'!F94+'9.울산씨밀레'!F94</f>
        <v>0</v>
      </c>
      <c r="H155" s="44">
        <f t="shared" si="47"/>
        <v>-4300000</v>
      </c>
      <c r="I155" s="130">
        <f t="shared" si="48"/>
        <v>-1</v>
      </c>
      <c r="J155" s="83"/>
    </row>
    <row r="156" spans="1:10" x14ac:dyDescent="0.3">
      <c r="A156" s="1298"/>
      <c r="B156" s="1303"/>
      <c r="C156" s="1309"/>
      <c r="D156" s="476" t="s">
        <v>240</v>
      </c>
      <c r="E156" s="221">
        <f>'4. 서울Y 봉천종합사회복지관'!D95+'5. 강서종합사회복지관(총괄)'!D95+'6.강서구지역자활센터(장기요양사업)'!D95+'8.은학의집(총괄)'!D95+'9.울산씨밀레'!D95</f>
        <v>25300000</v>
      </c>
      <c r="F156" s="221">
        <f>'4. 서울Y 봉천종합사회복지관'!E95+'5. 강서종합사회복지관(총괄)'!E95+'6.강서구지역자활센터(장기요양사업)'!E95+'8.은학의집(총괄)'!E95+'9.울산씨밀레'!E95</f>
        <v>2116760</v>
      </c>
      <c r="G156" s="885">
        <f>'4. 서울Y 봉천종합사회복지관'!F95+'5. 강서종합사회복지관(총괄)'!F95+'9.울산씨밀레'!F95</f>
        <v>0</v>
      </c>
      <c r="H156" s="44">
        <f t="shared" si="47"/>
        <v>-25300000</v>
      </c>
      <c r="I156" s="130">
        <f t="shared" si="48"/>
        <v>-1</v>
      </c>
      <c r="J156" s="83"/>
    </row>
    <row r="157" spans="1:10" x14ac:dyDescent="0.3">
      <c r="A157" s="1298"/>
      <c r="B157" s="1303"/>
      <c r="C157" s="1309"/>
      <c r="D157" s="476" t="s">
        <v>241</v>
      </c>
      <c r="E157" s="221">
        <f>'4. 서울Y 봉천종합사회복지관'!D96+'5. 강서종합사회복지관(총괄)'!D96+'6.강서구지역자활센터(장기요양사업)'!D96+'8.은학의집(총괄)'!D96+'9.울산씨밀레'!D96</f>
        <v>101576000</v>
      </c>
      <c r="F157" s="221">
        <f>'4. 서울Y 봉천종합사회복지관'!E96+'5. 강서종합사회복지관(총괄)'!E96+'6.강서구지역자활센터(장기요양사업)'!E96+'8.은학의집(총괄)'!E96+'9.울산씨밀레'!E96</f>
        <v>74408100</v>
      </c>
      <c r="G157" s="221">
        <f>'4. 서울Y 봉천종합사회복지관'!F96+'5. 강서종합사회복지관(총괄)'!F96+'9.울산씨밀레'!F96</f>
        <v>91376000</v>
      </c>
      <c r="H157" s="44">
        <f t="shared" si="47"/>
        <v>-10200000</v>
      </c>
      <c r="I157" s="130">
        <f t="shared" si="48"/>
        <v>-0.10041742143813499</v>
      </c>
      <c r="J157" s="83"/>
    </row>
    <row r="158" spans="1:10" x14ac:dyDescent="0.3">
      <c r="A158" s="1298"/>
      <c r="B158" s="1303"/>
      <c r="C158" s="1309"/>
      <c r="D158" s="476" t="s">
        <v>242</v>
      </c>
      <c r="E158" s="221">
        <f>'4. 서울Y 봉천종합사회복지관'!D97+'5. 강서종합사회복지관(총괄)'!D97+'6.강서구지역자활센터(장기요양사업)'!D97+'8.은학의집(총괄)'!D97+'9.울산씨밀레'!D97</f>
        <v>76080000</v>
      </c>
      <c r="F158" s="221">
        <f>'4. 서울Y 봉천종합사회복지관'!E97+'5. 강서종합사회복지관(총괄)'!E97+'6.강서구지역자활센터(장기요양사업)'!E97+'8.은학의집(총괄)'!E97+'9.울산씨밀레'!E97</f>
        <v>1862260</v>
      </c>
      <c r="G158" s="885">
        <f>'4. 서울Y 봉천종합사회복지관'!F97+'5. 강서종합사회복지관(총괄)'!F97+'9.울산씨밀레'!F97</f>
        <v>0</v>
      </c>
      <c r="H158" s="44">
        <f t="shared" si="47"/>
        <v>-76080000</v>
      </c>
      <c r="I158" s="130">
        <f t="shared" si="48"/>
        <v>-1</v>
      </c>
      <c r="J158" s="83"/>
    </row>
    <row r="159" spans="1:10" x14ac:dyDescent="0.3">
      <c r="A159" s="1298"/>
      <c r="B159" s="1303"/>
      <c r="C159" s="1309"/>
      <c r="D159" s="476" t="s">
        <v>243</v>
      </c>
      <c r="E159" s="221">
        <f>'4. 서울Y 봉천종합사회복지관'!D98+'5. 강서종합사회복지관(총괄)'!D98+'6.강서구지역자활센터(장기요양사업)'!D98+'8.은학의집(총괄)'!D98+'9.울산씨밀레'!D98</f>
        <v>6000000</v>
      </c>
      <c r="F159" s="221">
        <f>'4. 서울Y 봉천종합사회복지관'!E98+'5. 강서종합사회복지관(총괄)'!E98+'6.강서구지역자활센터(장기요양사업)'!E98+'8.은학의집(총괄)'!E98+'9.울산씨밀레'!E98</f>
        <v>1150500</v>
      </c>
      <c r="G159" s="885">
        <f>'4. 서울Y 봉천종합사회복지관'!F98+'5. 강서종합사회복지관(총괄)'!F98+'9.울산씨밀레'!F98</f>
        <v>0</v>
      </c>
      <c r="H159" s="44">
        <f t="shared" si="47"/>
        <v>-6000000</v>
      </c>
      <c r="I159" s="130">
        <f t="shared" si="48"/>
        <v>-1</v>
      </c>
      <c r="J159" s="83"/>
    </row>
    <row r="160" spans="1:10" x14ac:dyDescent="0.3">
      <c r="A160" s="1298"/>
      <c r="B160" s="1303"/>
      <c r="C160" s="1309"/>
      <c r="D160" s="476" t="s">
        <v>244</v>
      </c>
      <c r="E160" s="221">
        <f>'4. 서울Y 봉천종합사회복지관'!D99+'5. 강서종합사회복지관(총괄)'!D99+'6.강서구지역자활센터(장기요양사업)'!D99+'8.은학의집(총괄)'!D99+'9.울산씨밀레'!D99</f>
        <v>478864000</v>
      </c>
      <c r="F160" s="221">
        <f>'4. 서울Y 봉천종합사회복지관'!E99+'5. 강서종합사회복지관(총괄)'!E99+'6.강서구지역자활센터(장기요양사업)'!E99+'8.은학의집(총괄)'!E99+'9.울산씨밀레'!E99</f>
        <v>386564805</v>
      </c>
      <c r="G160" s="885">
        <f>'4. 서울Y 봉천종합사회복지관'!F99+'5. 강서종합사회복지관(총괄)'!F99+'9.울산씨밀레'!F99</f>
        <v>0</v>
      </c>
      <c r="H160" s="44">
        <f t="shared" si="47"/>
        <v>-478864000</v>
      </c>
      <c r="I160" s="130">
        <f t="shared" si="48"/>
        <v>-1</v>
      </c>
      <c r="J160" s="83"/>
    </row>
    <row r="161" spans="1:10" x14ac:dyDescent="0.3">
      <c r="A161" s="1298"/>
      <c r="B161" s="1303"/>
      <c r="C161" s="1309"/>
      <c r="D161" s="476" t="s">
        <v>245</v>
      </c>
      <c r="E161" s="221">
        <f>'4. 서울Y 봉천종합사회복지관'!D100+'5. 강서종합사회복지관(총괄)'!D100+'6.강서구지역자활센터(장기요양사업)'!D100+'8.은학의집(총괄)'!D100+'9.울산씨밀레'!D100</f>
        <v>36300000</v>
      </c>
      <c r="F161" s="221">
        <f>'4. 서울Y 봉천종합사회복지관'!E100+'5. 강서종합사회복지관(총괄)'!E100+'6.강서구지역자활센터(장기요양사업)'!E100+'8.은학의집(총괄)'!E100+'9.울산씨밀레'!E100</f>
        <v>4051940</v>
      </c>
      <c r="G161" s="885">
        <f>'4. 서울Y 봉천종합사회복지관'!F100+'5. 강서종합사회복지관(총괄)'!F100+'9.울산씨밀레'!F100</f>
        <v>0</v>
      </c>
      <c r="H161" s="44">
        <f t="shared" si="47"/>
        <v>-36300000</v>
      </c>
      <c r="I161" s="130">
        <f t="shared" si="48"/>
        <v>-1</v>
      </c>
      <c r="J161" s="83"/>
    </row>
    <row r="162" spans="1:10" x14ac:dyDescent="0.3">
      <c r="A162" s="1298"/>
      <c r="B162" s="1303"/>
      <c r="C162" s="1309"/>
      <c r="D162" s="476" t="s">
        <v>232</v>
      </c>
      <c r="E162" s="221">
        <f>'4. 서울Y 봉천종합사회복지관'!D101+'5. 강서종합사회복지관(총괄)'!D101+'6.강서구지역자활센터(장기요양사업)'!D101+'8.은학의집(총괄)'!D101+'9.울산씨밀레'!D101</f>
        <v>9605000</v>
      </c>
      <c r="F162" s="221">
        <f>'4. 서울Y 봉천종합사회복지관'!E101+'5. 강서종합사회복지관(총괄)'!E101+'6.강서구지역자활센터(장기요양사업)'!E101+'8.은학의집(총괄)'!E101+'9.울산씨밀레'!E101</f>
        <v>1915420</v>
      </c>
      <c r="G162" s="221">
        <f>'4. 서울Y 봉천종합사회복지관'!F101+'5. 강서종합사회복지관(총괄)'!F101+'9.울산씨밀레'!F101</f>
        <v>5497000</v>
      </c>
      <c r="H162" s="44">
        <f t="shared" si="47"/>
        <v>-4108000</v>
      </c>
      <c r="I162" s="130">
        <f t="shared" si="48"/>
        <v>-0.42769390942217594</v>
      </c>
      <c r="J162" s="83"/>
    </row>
    <row r="163" spans="1:10" x14ac:dyDescent="0.3">
      <c r="A163" s="1298"/>
      <c r="B163" s="1303"/>
      <c r="C163" s="1309"/>
      <c r="D163" s="476" t="s">
        <v>233</v>
      </c>
      <c r="E163" s="221">
        <f>'4. 서울Y 봉천종합사회복지관'!D102+'5. 강서종합사회복지관(총괄)'!D102+'6.강서구지역자활센터(장기요양사업)'!D102+'8.은학의집(총괄)'!D102+'9.울산씨밀레'!D102</f>
        <v>26600000</v>
      </c>
      <c r="F163" s="221">
        <f>'4. 서울Y 봉천종합사회복지관'!E102+'5. 강서종합사회복지관(총괄)'!E102+'6.강서구지역자활센터(장기요양사업)'!E102+'8.은학의집(총괄)'!E102+'9.울산씨밀레'!E102</f>
        <v>26917640</v>
      </c>
      <c r="G163" s="221">
        <f>'4. 서울Y 봉천종합사회복지관'!F102+'5. 강서종합사회복지관(총괄)'!F102+'9.울산씨밀레'!F102</f>
        <v>36708000</v>
      </c>
      <c r="H163" s="66">
        <f t="shared" si="47"/>
        <v>10108000</v>
      </c>
      <c r="I163" s="130">
        <f t="shared" si="48"/>
        <v>0.38</v>
      </c>
      <c r="J163" s="83"/>
    </row>
    <row r="164" spans="1:10" x14ac:dyDescent="0.3">
      <c r="A164" s="1298"/>
      <c r="B164" s="1303"/>
      <c r="C164" s="1309"/>
      <c r="D164" s="476" t="s">
        <v>234</v>
      </c>
      <c r="E164" s="221">
        <f>'4. 서울Y 봉천종합사회복지관'!D103+'5. 강서종합사회복지관(총괄)'!D103+'6.강서구지역자활센터(장기요양사업)'!D103+'8.은학의집(총괄)'!D103+'9.울산씨밀레'!D103</f>
        <v>3000000</v>
      </c>
      <c r="F164" s="885">
        <f>'4. 서울Y 봉천종합사회복지관'!E103+'5. 강서종합사회복지관(총괄)'!E103+'6.강서구지역자활센터(장기요양사업)'!E103+'8.은학의집(총괄)'!E103+'9.울산씨밀레'!E103</f>
        <v>0</v>
      </c>
      <c r="G164" s="885">
        <f>'4. 서울Y 봉천종합사회복지관'!F103+'5. 강서종합사회복지관(총괄)'!F103+'9.울산씨밀레'!F103</f>
        <v>0</v>
      </c>
      <c r="H164" s="44">
        <f t="shared" si="47"/>
        <v>-3000000</v>
      </c>
      <c r="I164" s="130">
        <f t="shared" si="48"/>
        <v>-1</v>
      </c>
      <c r="J164" s="83"/>
    </row>
    <row r="165" spans="1:10" x14ac:dyDescent="0.3">
      <c r="A165" s="1298"/>
      <c r="B165" s="1303"/>
      <c r="C165" s="1309"/>
      <c r="D165" s="476" t="s">
        <v>235</v>
      </c>
      <c r="E165" s="221">
        <f>'4. 서울Y 봉천종합사회복지관'!D104+'5. 강서종합사회복지관(총괄)'!D104+'6.강서구지역자활센터(장기요양사업)'!D104+'8.은학의집(총괄)'!D104+'9.울산씨밀레'!D104</f>
        <v>7995000</v>
      </c>
      <c r="F165" s="221">
        <f>'4. 서울Y 봉천종합사회복지관'!E104+'5. 강서종합사회복지관(총괄)'!E104+'6.강서구지역자활센터(장기요양사업)'!E104+'8.은학의집(총괄)'!E104+'9.울산씨밀레'!E104</f>
        <v>5188100</v>
      </c>
      <c r="G165" s="221">
        <f>'4. 서울Y 봉천종합사회복지관'!F104+'5. 강서종합사회복지관(총괄)'!F104+'9.울산씨밀레'!F104</f>
        <v>10995000</v>
      </c>
      <c r="H165" s="66">
        <f t="shared" si="47"/>
        <v>3000000</v>
      </c>
      <c r="I165" s="130">
        <f t="shared" si="48"/>
        <v>0.37523452157598497</v>
      </c>
      <c r="J165" s="83"/>
    </row>
    <row r="166" spans="1:10" ht="17.25" thickBot="1" x14ac:dyDescent="0.35">
      <c r="A166" s="1298"/>
      <c r="B166" s="1303"/>
      <c r="C166" s="1310"/>
      <c r="D166" s="1167" t="s">
        <v>706</v>
      </c>
      <c r="E166" s="519">
        <f>SUM(E144:E165)</f>
        <v>2391602165</v>
      </c>
      <c r="F166" s="519">
        <f t="shared" ref="F166:G166" si="54">SUM(F144:F165)</f>
        <v>1697287359</v>
      </c>
      <c r="G166" s="519">
        <f t="shared" si="54"/>
        <v>1557426765</v>
      </c>
      <c r="H166" s="743">
        <f t="shared" si="47"/>
        <v>-834175400</v>
      </c>
      <c r="I166" s="540">
        <f t="shared" si="48"/>
        <v>-0.3487935461038521</v>
      </c>
      <c r="J166" s="81"/>
    </row>
    <row r="167" spans="1:10" ht="17.25" thickBot="1" x14ac:dyDescent="0.35">
      <c r="A167" s="1298"/>
      <c r="B167" s="1304"/>
      <c r="C167" s="1311" t="s">
        <v>39</v>
      </c>
      <c r="D167" s="1311"/>
      <c r="E167" s="575">
        <f>SUM(E143,E166)</f>
        <v>2732840145</v>
      </c>
      <c r="F167" s="575">
        <f>F166+F143</f>
        <v>1909273793</v>
      </c>
      <c r="G167" s="575">
        <f>SUM(G143,G166)</f>
        <v>1584149765</v>
      </c>
      <c r="H167" s="912">
        <f t="shared" si="47"/>
        <v>-1148690380</v>
      </c>
      <c r="I167" s="1197">
        <f t="shared" si="48"/>
        <v>-0.42032841990470687</v>
      </c>
      <c r="J167" s="573"/>
    </row>
    <row r="168" spans="1:10" x14ac:dyDescent="0.3">
      <c r="A168" s="1298"/>
      <c r="B168" s="1303" t="s">
        <v>268</v>
      </c>
      <c r="C168" s="360" t="s">
        <v>5</v>
      </c>
      <c r="D168" s="327" t="s">
        <v>8</v>
      </c>
      <c r="E168" s="216">
        <f>'4. 서울Y 봉천종합사회복지관'!D107+'5. 강서종합사회복지관(총괄)'!D107+'6.강서구지역자활센터(장기요양사업)'!D107+'8.은학의집(총괄)'!D107+'9.울산씨밀레'!D107</f>
        <v>9000000</v>
      </c>
      <c r="F168" s="216">
        <f>'4. 서울Y 봉천종합사회복지관'!E107+'5. 강서종합사회복지관(총괄)'!E107+'6.강서구지역자활센터(장기요양사업)'!E107+'8.은학의집(총괄)'!E107+'9.울산씨밀레'!E107</f>
        <v>3197170</v>
      </c>
      <c r="G168" s="216">
        <f>'4. 서울Y 봉천종합사회복지관'!F107+'5. 강서종합사회복지관(총괄)'!F107+'9.울산씨밀레'!F107</f>
        <v>6000000</v>
      </c>
      <c r="H168" s="35">
        <f t="shared" si="47"/>
        <v>-3000000</v>
      </c>
      <c r="I168" s="130">
        <f t="shared" si="48"/>
        <v>-0.33333333333333331</v>
      </c>
      <c r="J168" s="37"/>
    </row>
    <row r="169" spans="1:10" ht="17.25" thickBot="1" x14ac:dyDescent="0.35">
      <c r="A169" s="1298"/>
      <c r="B169" s="1304"/>
      <c r="C169" s="1312" t="s">
        <v>39</v>
      </c>
      <c r="D169" s="1313"/>
      <c r="E169" s="888">
        <f>E168</f>
        <v>9000000</v>
      </c>
      <c r="F169" s="888">
        <f t="shared" ref="F169:G169" si="55">F168</f>
        <v>3197170</v>
      </c>
      <c r="G169" s="888">
        <f t="shared" si="55"/>
        <v>6000000</v>
      </c>
      <c r="H169" s="764">
        <f t="shared" si="47"/>
        <v>-3000000</v>
      </c>
      <c r="I169" s="572">
        <f t="shared" si="48"/>
        <v>-0.33333333333333331</v>
      </c>
      <c r="J169" s="42"/>
    </row>
    <row r="170" spans="1:10" x14ac:dyDescent="0.3">
      <c r="A170" s="1298"/>
      <c r="B170" s="1286" t="s">
        <v>271</v>
      </c>
      <c r="C170" s="1288" t="s">
        <v>198</v>
      </c>
      <c r="D170" s="355" t="s">
        <v>65</v>
      </c>
      <c r="E170" s="71">
        <f>'4. 서울Y 봉천종합사회복지관'!D109+'5. 강서종합사회복지관(총괄)'!D109+'6.강서구지역자활센터(장기요양사업)'!D109+'8.은학의집(총괄)'!D109+'9.울산씨밀레'!D109</f>
        <v>259079920</v>
      </c>
      <c r="F170" s="71">
        <f>'4. 서울Y 봉천종합사회복지관'!E109+'5. 강서종합사회복지관(총괄)'!E109+'6.강서구지역자활센터(장기요양사업)'!E109+'8.은학의집(총괄)'!E109+'9.울산씨밀레'!E109</f>
        <v>0</v>
      </c>
      <c r="G170" s="450">
        <f>'4. 서울Y 봉천종합사회복지관'!F109+'5. 강서종합사회복지관(총괄)'!F109+'9.울산씨밀레'!F109</f>
        <v>292996230</v>
      </c>
      <c r="H170" s="614">
        <f t="shared" si="47"/>
        <v>33916310</v>
      </c>
      <c r="I170" s="130">
        <f t="shared" si="48"/>
        <v>0.13091060858749687</v>
      </c>
      <c r="J170" s="39"/>
    </row>
    <row r="171" spans="1:10" x14ac:dyDescent="0.3">
      <c r="A171" s="1298"/>
      <c r="B171" s="1286"/>
      <c r="C171" s="1289"/>
      <c r="D171" s="356" t="s">
        <v>38</v>
      </c>
      <c r="E171" s="885">
        <f>'4. 서울Y 봉천종합사회복지관'!D110+'5. 강서종합사회복지관(총괄)'!D110+'6.강서구지역자활센터(장기요양사업)'!D110+'8.은학의집(총괄)'!D110+'9.울산씨밀레'!D110</f>
        <v>37896515</v>
      </c>
      <c r="F171" s="885">
        <f>'4. 서울Y 봉천종합사회복지관'!E110+'5. 강서종합사회복지관(총괄)'!E110+'6.강서구지역자활센터(장기요양사업)'!E110+'8.은학의집(총괄)'!E110+'9.울산씨밀레'!E110</f>
        <v>29231169</v>
      </c>
      <c r="G171" s="1045">
        <f>'4. 서울Y 봉천종합사회복지관'!F110+'5. 강서종합사회복지관(총괄)'!F110+'9.울산씨밀레'!F110</f>
        <v>60580319</v>
      </c>
      <c r="H171" s="35">
        <f t="shared" si="47"/>
        <v>22683804</v>
      </c>
      <c r="I171" s="130">
        <f t="shared" si="48"/>
        <v>0.59857229615968643</v>
      </c>
      <c r="J171" s="37"/>
    </row>
    <row r="172" spans="1:10" ht="17.25" thickBot="1" x14ac:dyDescent="0.35">
      <c r="A172" s="1298"/>
      <c r="B172" s="1287"/>
      <c r="C172" s="1290" t="s">
        <v>39</v>
      </c>
      <c r="D172" s="1291"/>
      <c r="E172" s="582">
        <f>SUM(E170:E171)</f>
        <v>296976435</v>
      </c>
      <c r="F172" s="582">
        <f t="shared" ref="F172:G172" si="56">SUM(F170:F171)</f>
        <v>29231169</v>
      </c>
      <c r="G172" s="582">
        <f t="shared" si="56"/>
        <v>353576549</v>
      </c>
      <c r="H172" s="910">
        <f t="shared" si="47"/>
        <v>56600114</v>
      </c>
      <c r="I172" s="1198">
        <f t="shared" si="48"/>
        <v>0.19058789630901185</v>
      </c>
      <c r="J172" s="76"/>
    </row>
    <row r="173" spans="1:10" x14ac:dyDescent="0.3">
      <c r="A173" s="1298"/>
      <c r="B173" s="1316" t="s">
        <v>176</v>
      </c>
      <c r="C173" s="1319" t="s">
        <v>362</v>
      </c>
      <c r="D173" s="149" t="s">
        <v>178</v>
      </c>
      <c r="E173" s="680">
        <f>'8.은학의집(총괄)'!D112</f>
        <v>24000000</v>
      </c>
      <c r="F173" s="680">
        <f>'8.은학의집(총괄)'!E112</f>
        <v>22000000</v>
      </c>
      <c r="G173" s="691">
        <v>0</v>
      </c>
      <c r="H173" s="612">
        <f t="shared" si="47"/>
        <v>-24000000</v>
      </c>
      <c r="I173" s="698">
        <f t="shared" si="48"/>
        <v>-1</v>
      </c>
      <c r="J173" s="692"/>
    </row>
    <row r="174" spans="1:10" x14ac:dyDescent="0.3">
      <c r="A174" s="1298"/>
      <c r="B174" s="1317"/>
      <c r="C174" s="1320"/>
      <c r="D174" s="833" t="s">
        <v>363</v>
      </c>
      <c r="E174" s="677">
        <f>'8.은학의집(총괄)'!D113</f>
        <v>24000000</v>
      </c>
      <c r="F174" s="677">
        <f>'8.은학의집(총괄)'!E113</f>
        <v>22000000</v>
      </c>
      <c r="G174" s="677">
        <v>0</v>
      </c>
      <c r="H174" s="732">
        <f t="shared" si="47"/>
        <v>-24000000</v>
      </c>
      <c r="I174" s="498">
        <f t="shared" si="48"/>
        <v>-1</v>
      </c>
      <c r="J174" s="693"/>
    </row>
    <row r="175" spans="1:10" ht="17.25" thickBot="1" x14ac:dyDescent="0.35">
      <c r="A175" s="1298"/>
      <c r="B175" s="1318"/>
      <c r="C175" s="1321" t="s">
        <v>13</v>
      </c>
      <c r="D175" s="1322"/>
      <c r="E175" s="889">
        <f>SUM(E173:E174)</f>
        <v>48000000</v>
      </c>
      <c r="F175" s="889">
        <f t="shared" ref="F175:G175" si="57">SUM(F173:F174)</f>
        <v>44000000</v>
      </c>
      <c r="G175" s="889">
        <f t="shared" si="57"/>
        <v>0</v>
      </c>
      <c r="H175" s="35">
        <f t="shared" si="47"/>
        <v>-48000000</v>
      </c>
      <c r="I175" s="1199">
        <f t="shared" si="48"/>
        <v>-1</v>
      </c>
      <c r="J175" s="42"/>
    </row>
    <row r="176" spans="1:10" x14ac:dyDescent="0.3">
      <c r="A176" s="1298"/>
      <c r="B176" s="1316" t="s">
        <v>364</v>
      </c>
      <c r="C176" s="1319" t="s">
        <v>362</v>
      </c>
      <c r="D176" s="149" t="s">
        <v>366</v>
      </c>
      <c r="E176" s="680">
        <f>'8.은학의집(총괄)'!D115</f>
        <v>233947578</v>
      </c>
      <c r="F176" s="680">
        <f>'8.은학의집(총괄)'!E115</f>
        <v>0</v>
      </c>
      <c r="G176" s="680">
        <v>0</v>
      </c>
      <c r="H176" s="704">
        <f t="shared" si="47"/>
        <v>-233947578</v>
      </c>
      <c r="I176" s="498">
        <f t="shared" si="48"/>
        <v>-1</v>
      </c>
      <c r="J176" s="692"/>
    </row>
    <row r="177" spans="1:10" x14ac:dyDescent="0.3">
      <c r="A177" s="1298"/>
      <c r="B177" s="1317"/>
      <c r="C177" s="1320"/>
      <c r="D177" s="833" t="s">
        <v>368</v>
      </c>
      <c r="E177" s="677">
        <f>'8.은학의집(총괄)'!D116</f>
        <v>227558398</v>
      </c>
      <c r="F177" s="677">
        <f>'8.은학의집(총괄)'!E116</f>
        <v>0</v>
      </c>
      <c r="G177" s="677">
        <v>0</v>
      </c>
      <c r="H177" s="732">
        <f t="shared" si="47"/>
        <v>-227558398</v>
      </c>
      <c r="I177" s="498">
        <f t="shared" si="48"/>
        <v>-1</v>
      </c>
      <c r="J177" s="693"/>
    </row>
    <row r="178" spans="1:10" ht="17.25" thickBot="1" x14ac:dyDescent="0.35">
      <c r="A178" s="1298"/>
      <c r="B178" s="1318"/>
      <c r="C178" s="1321" t="s">
        <v>369</v>
      </c>
      <c r="D178" s="1322"/>
      <c r="E178" s="889">
        <f>SUM(E176:E177)</f>
        <v>461505976</v>
      </c>
      <c r="F178" s="889">
        <f t="shared" ref="F178:G178" si="58">SUM(F176:F177)</f>
        <v>0</v>
      </c>
      <c r="G178" s="889">
        <f t="shared" si="58"/>
        <v>0</v>
      </c>
      <c r="H178" s="35">
        <f t="shared" si="47"/>
        <v>-461505976</v>
      </c>
      <c r="I178" s="1199">
        <f t="shared" si="48"/>
        <v>-1</v>
      </c>
      <c r="J178" s="42"/>
    </row>
    <row r="179" spans="1:10" ht="19.149999999999999" customHeight="1" x14ac:dyDescent="0.3">
      <c r="A179" s="1298"/>
      <c r="B179" s="862" t="s">
        <v>43</v>
      </c>
      <c r="C179" s="863" t="s">
        <v>43</v>
      </c>
      <c r="D179" s="863" t="s">
        <v>68</v>
      </c>
      <c r="E179" s="71">
        <f>'4. 서울Y 봉천종합사회복지관'!D118+'5. 강서종합사회복지관(총괄)'!D118+'6.강서구지역자활센터(장기요양사업)'!D112+'8.은학의집(총괄)'!D118+'9.울산씨밀레'!D118</f>
        <v>0</v>
      </c>
      <c r="F179" s="70">
        <f>'4. 서울Y 봉천종합사회복지관'!E118+'5. 강서종합사회복지관(총괄)'!E118+'6.강서구지역자활센터(장기요양사업)'!E112+'8.은학의집(총괄)'!E118+'9.울산씨밀레'!E118</f>
        <v>1581238778</v>
      </c>
      <c r="G179" s="71">
        <f>'4. 서울Y 봉천종합사회복지관'!F118+'5. 강서종합사회복지관(총괄)'!F118+'6.강서구지역자활센터(장기요양사업)'!F112+'8.은학의집(총괄)'!G118+'9.울산씨밀레'!F118</f>
        <v>0</v>
      </c>
      <c r="H179" s="583">
        <f t="shared" si="47"/>
        <v>0</v>
      </c>
      <c r="I179" s="865" t="e">
        <f t="shared" si="48"/>
        <v>#DIV/0!</v>
      </c>
      <c r="J179" s="79"/>
    </row>
    <row r="180" spans="1:10" ht="17.45" customHeight="1" thickBot="1" x14ac:dyDescent="0.35">
      <c r="A180" s="1299"/>
      <c r="B180" s="1292" t="s">
        <v>41</v>
      </c>
      <c r="C180" s="1293"/>
      <c r="D180" s="1294"/>
      <c r="E180" s="615">
        <f>E133+E137+E167+E169+E172+E175+E178</f>
        <v>11005938654</v>
      </c>
      <c r="F180" s="615">
        <f t="shared" ref="F180:H180" si="59">F133+F137+F167+F169+F172+F175+F178</f>
        <v>7573320747</v>
      </c>
      <c r="G180" s="615">
        <f t="shared" si="59"/>
        <v>5230049940</v>
      </c>
      <c r="H180" s="1044">
        <f t="shared" si="59"/>
        <v>-5775888714</v>
      </c>
      <c r="I180" s="864">
        <f t="shared" si="48"/>
        <v>-0.5247974657664306</v>
      </c>
      <c r="J180" s="616"/>
    </row>
    <row r="181" spans="1:10" ht="24" customHeight="1" thickBot="1" x14ac:dyDescent="0.35">
      <c r="B181" s="1340" t="s">
        <v>732</v>
      </c>
      <c r="C181" s="1340"/>
      <c r="D181" s="1340"/>
      <c r="E181" s="1340"/>
      <c r="F181" s="1340"/>
      <c r="G181" s="1340"/>
      <c r="H181" s="1340"/>
      <c r="I181" s="1340"/>
      <c r="J181" s="1340"/>
    </row>
    <row r="182" spans="1:10" ht="17.45" customHeight="1" x14ac:dyDescent="0.3">
      <c r="A182" s="1245" t="s">
        <v>126</v>
      </c>
      <c r="B182" s="1284" t="s">
        <v>14</v>
      </c>
      <c r="C182" s="1285"/>
      <c r="D182" s="1285"/>
      <c r="E182" s="1273" t="s">
        <v>237</v>
      </c>
      <c r="F182" s="1273" t="s">
        <v>722</v>
      </c>
      <c r="G182" s="1273" t="s">
        <v>236</v>
      </c>
      <c r="H182" s="1273" t="s">
        <v>59</v>
      </c>
      <c r="I182" s="1275" t="s">
        <v>49</v>
      </c>
      <c r="J182" s="1277" t="s">
        <v>61</v>
      </c>
    </row>
    <row r="183" spans="1:10" ht="16.5" customHeight="1" thickBot="1" x14ac:dyDescent="0.35">
      <c r="A183" s="1246"/>
      <c r="B183" s="590" t="s">
        <v>0</v>
      </c>
      <c r="C183" s="366" t="s">
        <v>1</v>
      </c>
      <c r="D183" s="366" t="s">
        <v>2</v>
      </c>
      <c r="E183" s="1274"/>
      <c r="F183" s="1274"/>
      <c r="G183" s="1274"/>
      <c r="H183" s="1274"/>
      <c r="I183" s="1276"/>
      <c r="J183" s="1278"/>
    </row>
    <row r="184" spans="1:10" ht="17.25" customHeight="1" x14ac:dyDescent="0.3">
      <c r="A184" s="1247" t="s">
        <v>221</v>
      </c>
      <c r="B184" s="1279" t="s">
        <v>196</v>
      </c>
      <c r="C184" s="479" t="s">
        <v>202</v>
      </c>
      <c r="D184" s="479" t="s">
        <v>79</v>
      </c>
      <c r="E184" s="588">
        <f>'7. 강서구어린이집'!D35</f>
        <v>47035400</v>
      </c>
      <c r="F184" s="588">
        <f>'7. 강서구어린이집'!E35</f>
        <v>36544330</v>
      </c>
      <c r="G184" s="588">
        <f>'7. 강서구어린이집'!F35</f>
        <v>49897200</v>
      </c>
      <c r="H184" s="589">
        <f>G184-E184</f>
        <v>2861800</v>
      </c>
      <c r="I184" s="594">
        <f>H184/E184*100%</f>
        <v>6.0843534869481283E-2</v>
      </c>
      <c r="J184" s="7"/>
    </row>
    <row r="185" spans="1:10" ht="20.25" customHeight="1" x14ac:dyDescent="0.3">
      <c r="A185" s="1248"/>
      <c r="B185" s="1269"/>
      <c r="C185" s="1256" t="s">
        <v>203</v>
      </c>
      <c r="D185" s="361" t="s">
        <v>80</v>
      </c>
      <c r="E185" s="15">
        <f>'7. 강서구어린이집'!D36</f>
        <v>265538784</v>
      </c>
      <c r="F185" s="15">
        <f>'7. 강서구어린이집'!E36</f>
        <v>217471260</v>
      </c>
      <c r="G185" s="15">
        <f>'7. 강서구어린이집'!F36</f>
        <v>292326340</v>
      </c>
      <c r="H185" s="16">
        <f t="shared" ref="H185:H228" si="60">G185-E185</f>
        <v>26787556</v>
      </c>
      <c r="I185" s="596">
        <f t="shared" ref="I185:I228" si="61">H185/E185*100%</f>
        <v>0.10088001306807219</v>
      </c>
      <c r="J185" s="1006" t="s">
        <v>470</v>
      </c>
    </row>
    <row r="186" spans="1:10" ht="16.5" customHeight="1" x14ac:dyDescent="0.3">
      <c r="A186" s="1248"/>
      <c r="B186" s="1269"/>
      <c r="C186" s="1256"/>
      <c r="D186" s="361" t="s">
        <v>81</v>
      </c>
      <c r="E186" s="15">
        <f>'7. 강서구어린이집'!D37</f>
        <v>9480000</v>
      </c>
      <c r="F186" s="15">
        <f>'7. 강서구어린이집'!E37</f>
        <v>9811590</v>
      </c>
      <c r="G186" s="15">
        <f>'7. 강서구어린이집'!F37</f>
        <v>20800000</v>
      </c>
      <c r="H186" s="16">
        <f t="shared" si="60"/>
        <v>11320000</v>
      </c>
      <c r="I186" s="596">
        <f t="shared" si="61"/>
        <v>1.1940928270042195</v>
      </c>
      <c r="J186" s="1006" t="s">
        <v>471</v>
      </c>
    </row>
    <row r="187" spans="1:10" x14ac:dyDescent="0.3">
      <c r="A187" s="1248"/>
      <c r="B187" s="1269"/>
      <c r="C187" s="361" t="s">
        <v>204</v>
      </c>
      <c r="D187" s="361" t="s">
        <v>82</v>
      </c>
      <c r="E187" s="15">
        <f>'7. 강서구어린이집'!D38</f>
        <v>320000</v>
      </c>
      <c r="F187" s="18">
        <f>'7. 강서구어린이집'!E38</f>
        <v>0</v>
      </c>
      <c r="G187" s="15">
        <f>'7. 강서구어린이집'!F38</f>
        <v>320000</v>
      </c>
      <c r="H187" s="19">
        <f t="shared" si="60"/>
        <v>0</v>
      </c>
      <c r="I187" s="596">
        <f t="shared" si="61"/>
        <v>0</v>
      </c>
      <c r="J187" s="17"/>
    </row>
    <row r="188" spans="1:10" x14ac:dyDescent="0.3">
      <c r="A188" s="1248"/>
      <c r="B188" s="1269"/>
      <c r="C188" s="1256" t="s">
        <v>205</v>
      </c>
      <c r="D188" s="361" t="s">
        <v>83</v>
      </c>
      <c r="E188" s="15">
        <f>'7. 강서구어린이집'!D39</f>
        <v>36522234</v>
      </c>
      <c r="F188" s="15">
        <f>'7. 강서구어린이집'!E39</f>
        <v>32679302</v>
      </c>
      <c r="G188" s="15">
        <f>'7. 강서구어린이집'!F39</f>
        <v>39544153</v>
      </c>
      <c r="H188" s="16">
        <f t="shared" si="60"/>
        <v>3021919</v>
      </c>
      <c r="I188" s="596">
        <f t="shared" si="61"/>
        <v>8.2741899085362627E-2</v>
      </c>
      <c r="J188" s="17"/>
    </row>
    <row r="189" spans="1:10" ht="16.5" customHeight="1" x14ac:dyDescent="0.3">
      <c r="A189" s="1248"/>
      <c r="B189" s="1269"/>
      <c r="C189" s="1256"/>
      <c r="D189" s="361" t="s">
        <v>84</v>
      </c>
      <c r="E189" s="588">
        <f>'7. 강서구어린이집'!D40</f>
        <v>29406783</v>
      </c>
      <c r="F189" s="588">
        <f>'7. 강서구어린이집'!E40</f>
        <v>29752730</v>
      </c>
      <c r="G189" s="588">
        <f>'7. 강서구어린이집'!F40</f>
        <v>35311451</v>
      </c>
      <c r="H189" s="16">
        <f t="shared" si="60"/>
        <v>5904668</v>
      </c>
      <c r="I189" s="596">
        <f t="shared" si="61"/>
        <v>0.20079272186964484</v>
      </c>
      <c r="J189" s="17"/>
    </row>
    <row r="190" spans="1:10" ht="17.25" thickBot="1" x14ac:dyDescent="0.35">
      <c r="A190" s="1248"/>
      <c r="B190" s="1270"/>
      <c r="C190" s="1280" t="s">
        <v>467</v>
      </c>
      <c r="D190" s="1281"/>
      <c r="E190" s="29">
        <f>SUM(E184:E189)</f>
        <v>388303201</v>
      </c>
      <c r="F190" s="29">
        <f t="shared" ref="F190:G190" si="62">SUM(F184:F189)</f>
        <v>326259212</v>
      </c>
      <c r="G190" s="29">
        <f t="shared" si="62"/>
        <v>438199144</v>
      </c>
      <c r="H190" s="593">
        <f t="shared" si="60"/>
        <v>49895943</v>
      </c>
      <c r="I190" s="595">
        <f t="shared" si="61"/>
        <v>0.12849737749135887</v>
      </c>
      <c r="J190" s="21"/>
    </row>
    <row r="191" spans="1:10" ht="33" x14ac:dyDescent="0.3">
      <c r="A191" s="1248"/>
      <c r="B191" s="1268" t="s">
        <v>188</v>
      </c>
      <c r="C191" s="1271" t="s">
        <v>206</v>
      </c>
      <c r="D191" s="367" t="s">
        <v>22</v>
      </c>
      <c r="E191" s="88">
        <f>'7. 강서구어린이집'!D42</f>
        <v>16368999</v>
      </c>
      <c r="F191" s="88">
        <f>'7. 강서구어린이집'!E42</f>
        <v>25515511</v>
      </c>
      <c r="G191" s="88">
        <f>'7. 강서구어린이집'!F42</f>
        <v>24256056</v>
      </c>
      <c r="H191" s="89">
        <f t="shared" si="60"/>
        <v>7887057</v>
      </c>
      <c r="I191" s="594">
        <f t="shared" si="61"/>
        <v>0.48182891330129596</v>
      </c>
      <c r="J191" s="1007" t="s">
        <v>472</v>
      </c>
    </row>
    <row r="192" spans="1:10" ht="16.5" customHeight="1" x14ac:dyDescent="0.3">
      <c r="A192" s="1248"/>
      <c r="B192" s="1269"/>
      <c r="C192" s="1263"/>
      <c r="D192" s="368" t="s">
        <v>85</v>
      </c>
      <c r="E192" s="15">
        <f>'7. 강서구어린이집'!D43</f>
        <v>7520000</v>
      </c>
      <c r="F192" s="15">
        <f>'7. 강서구어린이집'!E43</f>
        <v>5713000</v>
      </c>
      <c r="G192" s="15">
        <f>'7. 강서구어린이집'!F43</f>
        <v>7520000</v>
      </c>
      <c r="H192" s="19">
        <f t="shared" si="60"/>
        <v>0</v>
      </c>
      <c r="I192" s="596">
        <f t="shared" si="61"/>
        <v>0</v>
      </c>
      <c r="J192" s="17"/>
    </row>
    <row r="193" spans="1:10" x14ac:dyDescent="0.3">
      <c r="A193" s="1248"/>
      <c r="B193" s="1269"/>
      <c r="C193" s="1263"/>
      <c r="D193" s="369" t="s">
        <v>86</v>
      </c>
      <c r="E193" s="15">
        <f>'7. 강서구어린이집'!D44</f>
        <v>3740000</v>
      </c>
      <c r="F193" s="15">
        <f>'7. 강서구어린이집'!E44</f>
        <v>4714000</v>
      </c>
      <c r="G193" s="15">
        <f>'7. 강서구어린이집'!F44</f>
        <v>5240000</v>
      </c>
      <c r="H193" s="16">
        <f t="shared" si="60"/>
        <v>1500000</v>
      </c>
      <c r="I193" s="596">
        <f t="shared" si="61"/>
        <v>0.40106951871657753</v>
      </c>
      <c r="J193" s="17"/>
    </row>
    <row r="194" spans="1:10" x14ac:dyDescent="0.3">
      <c r="A194" s="1248"/>
      <c r="B194" s="1269"/>
      <c r="C194" s="1263"/>
      <c r="D194" s="369" t="s">
        <v>87</v>
      </c>
      <c r="E194" s="15">
        <f>'7. 강서구어린이집'!D45</f>
        <v>400000</v>
      </c>
      <c r="F194" s="18">
        <f>'7. 강서구어린이집'!E45</f>
        <v>0</v>
      </c>
      <c r="G194" s="15">
        <f>'7. 강서구어린이집'!F45</f>
        <v>400000</v>
      </c>
      <c r="H194" s="19">
        <f t="shared" si="60"/>
        <v>0</v>
      </c>
      <c r="I194" s="596">
        <f t="shared" si="61"/>
        <v>0</v>
      </c>
      <c r="J194" s="20"/>
    </row>
    <row r="195" spans="1:10" x14ac:dyDescent="0.3">
      <c r="A195" s="1248"/>
      <c r="B195" s="1269"/>
      <c r="C195" s="1263"/>
      <c r="D195" s="369" t="s">
        <v>88</v>
      </c>
      <c r="E195" s="15">
        <f>'7. 강서구어린이집'!D46</f>
        <v>17900000</v>
      </c>
      <c r="F195" s="15">
        <f>'7. 강서구어린이집'!E46</f>
        <v>10785700</v>
      </c>
      <c r="G195" s="15">
        <f>'7. 강서구어린이집'!F46</f>
        <v>17900000</v>
      </c>
      <c r="H195" s="19">
        <f t="shared" si="60"/>
        <v>0</v>
      </c>
      <c r="I195" s="596">
        <f t="shared" si="61"/>
        <v>0</v>
      </c>
      <c r="J195" s="20"/>
    </row>
    <row r="196" spans="1:10" x14ac:dyDescent="0.3">
      <c r="A196" s="1248"/>
      <c r="B196" s="1269"/>
      <c r="C196" s="1263"/>
      <c r="D196" s="365" t="s">
        <v>89</v>
      </c>
      <c r="E196" s="15">
        <f>'7. 강서구어린이집'!D47</f>
        <v>2314000</v>
      </c>
      <c r="F196" s="15">
        <f>'7. 강서구어린이집'!E47</f>
        <v>1740430</v>
      </c>
      <c r="G196" s="15">
        <f>'7. 강서구어린이집'!F47</f>
        <v>3959000</v>
      </c>
      <c r="H196" s="16">
        <f t="shared" si="60"/>
        <v>1645000</v>
      </c>
      <c r="I196" s="596">
        <f t="shared" si="61"/>
        <v>0.71089023336214352</v>
      </c>
      <c r="J196" s="20"/>
    </row>
    <row r="197" spans="1:10" x14ac:dyDescent="0.3">
      <c r="A197" s="1248"/>
      <c r="B197" s="1269"/>
      <c r="C197" s="1263"/>
      <c r="D197" s="365" t="s">
        <v>25</v>
      </c>
      <c r="E197" s="588"/>
      <c r="F197" s="588"/>
      <c r="G197" s="588"/>
      <c r="H197" s="16"/>
      <c r="I197" s="596"/>
      <c r="J197" s="20"/>
    </row>
    <row r="198" spans="1:10" ht="17.25" thickBot="1" x14ac:dyDescent="0.35">
      <c r="A198" s="1248"/>
      <c r="B198" s="1269"/>
      <c r="C198" s="1264"/>
      <c r="D198" s="1202" t="s">
        <v>476</v>
      </c>
      <c r="E198" s="111">
        <f>SUM(E191:E197)</f>
        <v>48242999</v>
      </c>
      <c r="F198" s="111">
        <f t="shared" ref="F198:G198" si="63">SUM(F191:F197)</f>
        <v>48468641</v>
      </c>
      <c r="G198" s="111">
        <f t="shared" si="63"/>
        <v>59275056</v>
      </c>
      <c r="H198" s="593">
        <f t="shared" si="60"/>
        <v>11032057</v>
      </c>
      <c r="I198" s="595">
        <f t="shared" si="61"/>
        <v>0.22867684904912317</v>
      </c>
      <c r="J198" s="21"/>
    </row>
    <row r="199" spans="1:10" x14ac:dyDescent="0.3">
      <c r="A199" s="1248"/>
      <c r="B199" s="1269"/>
      <c r="C199" s="1263" t="s">
        <v>207</v>
      </c>
      <c r="D199" s="370" t="s">
        <v>90</v>
      </c>
      <c r="E199" s="28">
        <f>'7. 강서구어린이집'!D50</f>
        <v>500000</v>
      </c>
      <c r="F199" s="28">
        <f>'7. 강서구어린이집'!E50</f>
        <v>50000</v>
      </c>
      <c r="G199" s="28">
        <f>'7. 강서구어린이집'!F50</f>
        <v>500000</v>
      </c>
      <c r="H199" s="6">
        <f t="shared" si="60"/>
        <v>0</v>
      </c>
      <c r="I199" s="594">
        <f t="shared" si="61"/>
        <v>0</v>
      </c>
      <c r="J199" s="24"/>
    </row>
    <row r="200" spans="1:10" ht="16.5" customHeight="1" x14ac:dyDescent="0.3">
      <c r="A200" s="1248"/>
      <c r="B200" s="1269"/>
      <c r="C200" s="1263"/>
      <c r="D200" s="370" t="s">
        <v>91</v>
      </c>
      <c r="E200" s="28">
        <f>'7. 강서구어린이집'!D51</f>
        <v>4800000</v>
      </c>
      <c r="F200" s="28">
        <f>'7. 강서구어린이집'!E51</f>
        <v>3200000</v>
      </c>
      <c r="G200" s="28">
        <f>'7. 강서구어린이집'!F51</f>
        <v>4800000</v>
      </c>
      <c r="H200" s="19">
        <f t="shared" si="60"/>
        <v>0</v>
      </c>
      <c r="I200" s="596">
        <f t="shared" si="61"/>
        <v>0</v>
      </c>
      <c r="J200" s="20"/>
    </row>
    <row r="201" spans="1:10" x14ac:dyDescent="0.3">
      <c r="A201" s="1248"/>
      <c r="B201" s="1269"/>
      <c r="C201" s="1263"/>
      <c r="D201" s="370" t="s">
        <v>92</v>
      </c>
      <c r="E201" s="28">
        <f>'7. 강서구어린이집'!D52</f>
        <v>200000</v>
      </c>
      <c r="F201" s="28">
        <f>'7. 강서구어린이집'!E52</f>
        <v>99300</v>
      </c>
      <c r="G201" s="28">
        <f>'7. 강서구어린이집'!F52</f>
        <v>200000</v>
      </c>
      <c r="H201" s="19">
        <f t="shared" si="60"/>
        <v>0</v>
      </c>
      <c r="I201" s="596">
        <f t="shared" si="61"/>
        <v>0</v>
      </c>
      <c r="J201" s="20"/>
    </row>
    <row r="202" spans="1:10" ht="17.25" thickBot="1" x14ac:dyDescent="0.35">
      <c r="A202" s="1248"/>
      <c r="B202" s="1269"/>
      <c r="C202" s="1264"/>
      <c r="D202" s="1169" t="s">
        <v>465</v>
      </c>
      <c r="E202" s="111">
        <f>SUM(E199:E201)</f>
        <v>5500000</v>
      </c>
      <c r="F202" s="111">
        <f t="shared" ref="F202:G202" si="64">SUM(F199:F201)</f>
        <v>3349300</v>
      </c>
      <c r="G202" s="111">
        <f t="shared" si="64"/>
        <v>5500000</v>
      </c>
      <c r="H202" s="1013">
        <f t="shared" si="60"/>
        <v>0</v>
      </c>
      <c r="I202" s="595">
        <f t="shared" si="61"/>
        <v>0</v>
      </c>
      <c r="J202" s="21"/>
    </row>
    <row r="203" spans="1:10" ht="17.25" thickBot="1" x14ac:dyDescent="0.35">
      <c r="A203" s="1248"/>
      <c r="B203" s="1270"/>
      <c r="C203" s="1282" t="s">
        <v>476</v>
      </c>
      <c r="D203" s="1283"/>
      <c r="E203" s="111">
        <f>SUM(E198,E202)</f>
        <v>53742999</v>
      </c>
      <c r="F203" s="111">
        <f t="shared" ref="F203:G203" si="65">SUM(F198,F202)</f>
        <v>51817941</v>
      </c>
      <c r="G203" s="111">
        <f t="shared" si="65"/>
        <v>64775056</v>
      </c>
      <c r="H203" s="34">
        <f t="shared" si="60"/>
        <v>11032057</v>
      </c>
      <c r="I203" s="591">
        <f t="shared" si="61"/>
        <v>0.205274309310502</v>
      </c>
      <c r="J203" s="87"/>
    </row>
    <row r="204" spans="1:10" x14ac:dyDescent="0.3">
      <c r="A204" s="1248"/>
      <c r="B204" s="1268" t="s">
        <v>208</v>
      </c>
      <c r="C204" s="1271" t="s">
        <v>209</v>
      </c>
      <c r="D204" s="367" t="s">
        <v>93</v>
      </c>
      <c r="E204" s="88">
        <f>'7. 강서구어린이집'!D55</f>
        <v>750000</v>
      </c>
      <c r="F204" s="88">
        <f>'7. 강서구어린이집'!E55</f>
        <v>721770</v>
      </c>
      <c r="G204" s="88">
        <f>'7. 강서구어린이집'!F55</f>
        <v>1200000</v>
      </c>
      <c r="H204" s="89">
        <f t="shared" si="60"/>
        <v>450000</v>
      </c>
      <c r="I204" s="594">
        <f t="shared" si="61"/>
        <v>0.6</v>
      </c>
      <c r="J204" s="7"/>
    </row>
    <row r="205" spans="1:10" ht="16.5" customHeight="1" x14ac:dyDescent="0.3">
      <c r="A205" s="1248"/>
      <c r="B205" s="1269"/>
      <c r="C205" s="1263"/>
      <c r="D205" s="368" t="s">
        <v>120</v>
      </c>
      <c r="E205" s="15">
        <f>'7. 강서구어린이집'!D56</f>
        <v>3000000</v>
      </c>
      <c r="F205" s="15">
        <f>'7. 강서구어린이집'!E56</f>
        <v>1790740</v>
      </c>
      <c r="G205" s="15">
        <f>'7. 강서구어린이집'!F56</f>
        <v>3000000</v>
      </c>
      <c r="H205" s="16">
        <f t="shared" si="60"/>
        <v>0</v>
      </c>
      <c r="I205" s="596">
        <f t="shared" si="61"/>
        <v>0</v>
      </c>
      <c r="J205" s="17"/>
    </row>
    <row r="206" spans="1:10" x14ac:dyDescent="0.3">
      <c r="A206" s="1248"/>
      <c r="B206" s="1269"/>
      <c r="C206" s="1263"/>
      <c r="D206" s="368" t="s">
        <v>94</v>
      </c>
      <c r="E206" s="15">
        <f>'7. 강서구어린이집'!D57</f>
        <v>7100000</v>
      </c>
      <c r="F206" s="15">
        <f>'7. 강서구어린이집'!E57</f>
        <v>6641163</v>
      </c>
      <c r="G206" s="15">
        <f>'7. 강서구어린이집'!F57</f>
        <v>10310000</v>
      </c>
      <c r="H206" s="16">
        <f t="shared" si="60"/>
        <v>3210000</v>
      </c>
      <c r="I206" s="596">
        <f t="shared" si="61"/>
        <v>0.45211267605633804</v>
      </c>
      <c r="J206" s="17"/>
    </row>
    <row r="207" spans="1:10" x14ac:dyDescent="0.3">
      <c r="A207" s="1248"/>
      <c r="B207" s="1269"/>
      <c r="C207" s="1263"/>
      <c r="D207" s="369" t="s">
        <v>95</v>
      </c>
      <c r="E207" s="15">
        <f>'7. 강서구어린이집'!D58</f>
        <v>700000</v>
      </c>
      <c r="F207" s="15">
        <f>'7. 강서구어린이집'!E58</f>
        <v>260000</v>
      </c>
      <c r="G207" s="15">
        <f>'7. 강서구어린이집'!F58</f>
        <v>700000</v>
      </c>
      <c r="H207" s="16">
        <f t="shared" si="60"/>
        <v>0</v>
      </c>
      <c r="I207" s="596">
        <f t="shared" si="61"/>
        <v>0</v>
      </c>
      <c r="J207" s="17"/>
    </row>
    <row r="208" spans="1:10" x14ac:dyDescent="0.3">
      <c r="A208" s="1248"/>
      <c r="B208" s="1269"/>
      <c r="C208" s="1272"/>
      <c r="D208" s="369" t="s">
        <v>96</v>
      </c>
      <c r="E208" s="588">
        <f>'7. 강서구어린이집'!D59</f>
        <v>50212800</v>
      </c>
      <c r="F208" s="588">
        <f>'7. 강서구어린이집'!E59</f>
        <v>41217915</v>
      </c>
      <c r="G208" s="588">
        <f>'7. 강서구어린이집'!F59</f>
        <v>57164800</v>
      </c>
      <c r="H208" s="16">
        <f t="shared" si="60"/>
        <v>6952000</v>
      </c>
      <c r="I208" s="596">
        <f t="shared" si="61"/>
        <v>0.13845075359270942</v>
      </c>
      <c r="J208" s="1006" t="s">
        <v>474</v>
      </c>
    </row>
    <row r="209" spans="1:10" ht="17.25" thickBot="1" x14ac:dyDescent="0.35">
      <c r="A209" s="1248"/>
      <c r="B209" s="1270"/>
      <c r="C209" s="1260" t="s">
        <v>477</v>
      </c>
      <c r="D209" s="1261"/>
      <c r="E209" s="592">
        <f>SUM(E204:E208)</f>
        <v>61762800</v>
      </c>
      <c r="F209" s="592">
        <f t="shared" ref="F209:G209" si="66">SUM(F204:F208)</f>
        <v>50631588</v>
      </c>
      <c r="G209" s="592">
        <f t="shared" si="66"/>
        <v>72374800</v>
      </c>
      <c r="H209" s="593">
        <f t="shared" si="60"/>
        <v>10612000</v>
      </c>
      <c r="I209" s="595">
        <f t="shared" si="61"/>
        <v>0.17181863516550416</v>
      </c>
      <c r="J209" s="27"/>
    </row>
    <row r="210" spans="1:10" ht="33" x14ac:dyDescent="0.3">
      <c r="A210" s="1248"/>
      <c r="B210" s="1252" t="s">
        <v>210</v>
      </c>
      <c r="C210" s="362" t="s">
        <v>211</v>
      </c>
      <c r="D210" s="371" t="s">
        <v>97</v>
      </c>
      <c r="E210" s="112">
        <f>'7. 강서구어린이집'!D61</f>
        <v>19128000</v>
      </c>
      <c r="F210" s="112">
        <f>'7. 강서구어린이집'!E61</f>
        <v>8891000</v>
      </c>
      <c r="G210" s="112">
        <f>'7. 강서구어린이집'!F61</f>
        <v>9128000</v>
      </c>
      <c r="H210" s="89">
        <f t="shared" si="60"/>
        <v>-10000000</v>
      </c>
      <c r="I210" s="594">
        <f t="shared" si="61"/>
        <v>-0.52279381012128812</v>
      </c>
      <c r="J210" s="7"/>
    </row>
    <row r="211" spans="1:10" x14ac:dyDescent="0.3">
      <c r="A211" s="1248"/>
      <c r="B211" s="1253"/>
      <c r="C211" s="361" t="s">
        <v>212</v>
      </c>
      <c r="D211" s="372" t="s">
        <v>98</v>
      </c>
      <c r="E211" s="106">
        <f>'7. 강서구어린이집'!D62</f>
        <v>11833000</v>
      </c>
      <c r="F211" s="106">
        <f>'7. 강서구어린이집'!E62</f>
        <v>7028370</v>
      </c>
      <c r="G211" s="106">
        <f>'7. 강서구어린이집'!F62</f>
        <v>8483000</v>
      </c>
      <c r="H211" s="16">
        <f t="shared" si="60"/>
        <v>-3350000</v>
      </c>
      <c r="I211" s="596">
        <f t="shared" si="61"/>
        <v>-0.28310656638215159</v>
      </c>
      <c r="J211" s="17"/>
    </row>
    <row r="212" spans="1:10" ht="17.25" thickBot="1" x14ac:dyDescent="0.35">
      <c r="A212" s="1248"/>
      <c r="B212" s="1254"/>
      <c r="C212" s="1257" t="s">
        <v>467</v>
      </c>
      <c r="D212" s="1258"/>
      <c r="E212" s="111">
        <f>SUM(E210:E211)</f>
        <v>30961000</v>
      </c>
      <c r="F212" s="111">
        <f t="shared" ref="F212:G212" si="67">SUM(F210:F211)</f>
        <v>15919370</v>
      </c>
      <c r="G212" s="111">
        <f t="shared" si="67"/>
        <v>17611000</v>
      </c>
      <c r="H212" s="593">
        <f t="shared" si="60"/>
        <v>-13350000</v>
      </c>
      <c r="I212" s="595">
        <f t="shared" si="61"/>
        <v>-0.4311876231387875</v>
      </c>
      <c r="J212" s="21"/>
    </row>
    <row r="213" spans="1:10" x14ac:dyDescent="0.3">
      <c r="A213" s="1248"/>
      <c r="B213" s="1252" t="s">
        <v>213</v>
      </c>
      <c r="C213" s="1255" t="s">
        <v>214</v>
      </c>
      <c r="D213" s="362" t="s">
        <v>42</v>
      </c>
      <c r="E213" s="25"/>
      <c r="F213" s="25"/>
      <c r="G213" s="25"/>
      <c r="H213" s="89"/>
      <c r="I213" s="594"/>
      <c r="J213" s="7"/>
    </row>
    <row r="214" spans="1:10" x14ac:dyDescent="0.3">
      <c r="A214" s="1248"/>
      <c r="B214" s="1253"/>
      <c r="C214" s="1256"/>
      <c r="D214" s="361" t="s">
        <v>99</v>
      </c>
      <c r="E214" s="109">
        <f>'7. 강서구어린이집'!D65</f>
        <v>1720000</v>
      </c>
      <c r="F214" s="109">
        <f>'7. 강서구어린이집'!E65</f>
        <v>1941100</v>
      </c>
      <c r="G214" s="109">
        <f>'7. 강서구어린이집'!F65</f>
        <v>2520000</v>
      </c>
      <c r="H214" s="16">
        <f t="shared" si="60"/>
        <v>800000</v>
      </c>
      <c r="I214" s="596">
        <f t="shared" si="61"/>
        <v>0.46511627906976744</v>
      </c>
      <c r="J214" s="17"/>
    </row>
    <row r="215" spans="1:10" ht="17.25" thickBot="1" x14ac:dyDescent="0.35">
      <c r="A215" s="1248"/>
      <c r="B215" s="1253"/>
      <c r="C215" s="1262"/>
      <c r="D215" s="1203" t="s">
        <v>466</v>
      </c>
      <c r="E215" s="969">
        <f>SUM(E213:E214)</f>
        <v>1720000</v>
      </c>
      <c r="F215" s="969">
        <f t="shared" ref="F215:G215" si="68">SUM(F213:F214)</f>
        <v>1941100</v>
      </c>
      <c r="G215" s="969">
        <f t="shared" si="68"/>
        <v>2520000</v>
      </c>
      <c r="H215" s="593">
        <f t="shared" si="60"/>
        <v>800000</v>
      </c>
      <c r="I215" s="595">
        <f t="shared" si="61"/>
        <v>0.46511627906976744</v>
      </c>
      <c r="J215" s="27"/>
    </row>
    <row r="216" spans="1:10" ht="17.25" thickBot="1" x14ac:dyDescent="0.35">
      <c r="A216" s="1248"/>
      <c r="B216" s="1253"/>
      <c r="C216" s="1263" t="s">
        <v>215</v>
      </c>
      <c r="D216" s="363" t="s">
        <v>100</v>
      </c>
      <c r="E216" s="106">
        <f>'7. 강서구어린이집'!D67</f>
        <v>1300000</v>
      </c>
      <c r="F216" s="106">
        <f>'7. 강서구어린이집'!E67</f>
        <v>2530000</v>
      </c>
      <c r="G216" s="106">
        <f>'7. 강서구어린이집'!F67</f>
        <v>3830000</v>
      </c>
      <c r="H216" s="89">
        <f t="shared" si="60"/>
        <v>2530000</v>
      </c>
      <c r="I216" s="141">
        <f t="shared" si="61"/>
        <v>1.9461538461538461</v>
      </c>
      <c r="J216" s="7"/>
    </row>
    <row r="217" spans="1:10" ht="16.5" customHeight="1" thickBot="1" x14ac:dyDescent="0.35">
      <c r="A217" s="1248"/>
      <c r="B217" s="1253"/>
      <c r="C217" s="1264"/>
      <c r="D217" s="1203" t="s">
        <v>465</v>
      </c>
      <c r="E217" s="113">
        <f>E216</f>
        <v>1300000</v>
      </c>
      <c r="F217" s="113">
        <f t="shared" ref="F217:G217" si="69">F216</f>
        <v>2530000</v>
      </c>
      <c r="G217" s="113">
        <f t="shared" si="69"/>
        <v>3830000</v>
      </c>
      <c r="H217" s="114">
        <f t="shared" si="60"/>
        <v>2530000</v>
      </c>
      <c r="I217" s="141">
        <f t="shared" si="61"/>
        <v>1.9461538461538461</v>
      </c>
      <c r="J217" s="27"/>
    </row>
    <row r="218" spans="1:10" ht="17.25" thickBot="1" x14ac:dyDescent="0.35">
      <c r="A218" s="1248"/>
      <c r="B218" s="1254"/>
      <c r="C218" s="1265" t="s">
        <v>469</v>
      </c>
      <c r="D218" s="1265"/>
      <c r="E218" s="111">
        <f>SUM(E215,E217)</f>
        <v>3020000</v>
      </c>
      <c r="F218" s="111">
        <f t="shared" ref="F218:G218" si="70">SUM(F215,F217)</f>
        <v>4471100</v>
      </c>
      <c r="G218" s="111">
        <f t="shared" si="70"/>
        <v>6350000</v>
      </c>
      <c r="H218" s="34">
        <f t="shared" si="60"/>
        <v>3330000</v>
      </c>
      <c r="I218" s="591">
        <f t="shared" si="61"/>
        <v>1.1026490066225165</v>
      </c>
      <c r="J218" s="87"/>
    </row>
    <row r="219" spans="1:10" x14ac:dyDescent="0.3">
      <c r="A219" s="1248"/>
      <c r="B219" s="1253" t="s">
        <v>216</v>
      </c>
      <c r="C219" s="373" t="s">
        <v>217</v>
      </c>
      <c r="D219" s="373" t="s">
        <v>101</v>
      </c>
      <c r="E219" s="108"/>
      <c r="F219" s="108"/>
      <c r="G219" s="108"/>
      <c r="H219" s="89"/>
      <c r="I219" s="594"/>
      <c r="J219" s="24"/>
    </row>
    <row r="220" spans="1:10" ht="17.25" thickBot="1" x14ac:dyDescent="0.35">
      <c r="A220" s="1248"/>
      <c r="B220" s="1254"/>
      <c r="C220" s="1250" t="s">
        <v>476</v>
      </c>
      <c r="D220" s="1251"/>
      <c r="E220" s="29"/>
      <c r="F220" s="29"/>
      <c r="G220" s="29"/>
      <c r="H220" s="114"/>
      <c r="I220" s="1028"/>
      <c r="J220" s="21"/>
    </row>
    <row r="221" spans="1:10" x14ac:dyDescent="0.3">
      <c r="A221" s="1248"/>
      <c r="B221" s="1266" t="s">
        <v>5</v>
      </c>
      <c r="C221" s="374" t="s">
        <v>218</v>
      </c>
      <c r="D221" s="374" t="s">
        <v>8</v>
      </c>
      <c r="E221" s="32"/>
      <c r="F221" s="32"/>
      <c r="G221" s="32"/>
      <c r="H221" s="89"/>
      <c r="I221" s="594"/>
      <c r="J221" s="31"/>
    </row>
    <row r="222" spans="1:10" ht="17.25" thickBot="1" x14ac:dyDescent="0.35">
      <c r="A222" s="1248"/>
      <c r="B222" s="1267"/>
      <c r="C222" s="1250" t="s">
        <v>465</v>
      </c>
      <c r="D222" s="1251"/>
      <c r="E222" s="22"/>
      <c r="F222" s="22"/>
      <c r="G222" s="22"/>
      <c r="H222" s="114"/>
      <c r="I222" s="1028"/>
      <c r="J222" s="92"/>
    </row>
    <row r="223" spans="1:10" x14ac:dyDescent="0.3">
      <c r="A223" s="1248"/>
      <c r="B223" s="1252" t="s">
        <v>219</v>
      </c>
      <c r="C223" s="1255" t="s">
        <v>220</v>
      </c>
      <c r="D223" s="934" t="s">
        <v>26</v>
      </c>
      <c r="E223" s="33">
        <f>'7. 강서구어린이집'!D74</f>
        <v>500000</v>
      </c>
      <c r="F223" s="33">
        <f>'7. 강서구어린이집'!E74</f>
        <v>0</v>
      </c>
      <c r="G223" s="33">
        <f>'7. 강서구어린이집'!F74</f>
        <v>500000</v>
      </c>
      <c r="H223" s="6">
        <f t="shared" si="60"/>
        <v>0</v>
      </c>
      <c r="I223" s="141">
        <f t="shared" si="61"/>
        <v>0</v>
      </c>
      <c r="J223" s="7"/>
    </row>
    <row r="224" spans="1:10" ht="17.25" customHeight="1" x14ac:dyDescent="0.3">
      <c r="A224" s="1248"/>
      <c r="B224" s="1253"/>
      <c r="C224" s="1256"/>
      <c r="D224" s="935" t="s">
        <v>40</v>
      </c>
      <c r="E224" s="1035"/>
      <c r="F224" s="1035"/>
      <c r="G224" s="1035"/>
      <c r="H224" s="1036"/>
      <c r="I224" s="596"/>
      <c r="J224" s="1029"/>
    </row>
    <row r="225" spans="1:10" ht="17.25" thickBot="1" x14ac:dyDescent="0.35">
      <c r="A225" s="1248"/>
      <c r="B225" s="1254"/>
      <c r="C225" s="1257" t="s">
        <v>467</v>
      </c>
      <c r="D225" s="1258"/>
      <c r="E225" s="86">
        <f>SUM(E223:E224)</f>
        <v>500000</v>
      </c>
      <c r="F225" s="1033">
        <f t="shared" ref="F225:G225" si="71">SUM(F223:F224)</f>
        <v>0</v>
      </c>
      <c r="G225" s="86">
        <f t="shared" si="71"/>
        <v>500000</v>
      </c>
      <c r="H225" s="1034">
        <f t="shared" si="60"/>
        <v>0</v>
      </c>
      <c r="I225" s="1028">
        <f t="shared" si="61"/>
        <v>0</v>
      </c>
      <c r="J225" s="21"/>
    </row>
    <row r="226" spans="1:10" x14ac:dyDescent="0.3">
      <c r="A226" s="1248"/>
      <c r="B226" s="1252" t="s">
        <v>114</v>
      </c>
      <c r="C226" s="375" t="s">
        <v>27</v>
      </c>
      <c r="D226" s="375" t="s">
        <v>68</v>
      </c>
      <c r="E226" s="33"/>
      <c r="F226" s="33"/>
      <c r="G226" s="33"/>
      <c r="H226" s="6"/>
      <c r="I226" s="594"/>
      <c r="J226" s="8"/>
    </row>
    <row r="227" spans="1:10" ht="17.25" thickBot="1" x14ac:dyDescent="0.35">
      <c r="A227" s="1248"/>
      <c r="B227" s="1254"/>
      <c r="C227" s="1259" t="s">
        <v>465</v>
      </c>
      <c r="D227" s="1259"/>
      <c r="E227" s="26"/>
      <c r="F227" s="26"/>
      <c r="G227" s="26"/>
      <c r="H227" s="1034"/>
      <c r="I227" s="1028"/>
      <c r="J227" s="27"/>
    </row>
    <row r="228" spans="1:10" ht="17.25" thickBot="1" x14ac:dyDescent="0.35">
      <c r="A228" s="1249"/>
      <c r="B228" s="1242" t="s">
        <v>16</v>
      </c>
      <c r="C228" s="1243"/>
      <c r="D228" s="1244"/>
      <c r="E228" s="142">
        <f>SUM(E190,E203,E209,E212,E218,E220,E222,E225,E227)</f>
        <v>538290000</v>
      </c>
      <c r="F228" s="142">
        <f t="shared" ref="F228:G228" si="72">SUM(F190,F203,F209,F212,F218,F220,F222,F225,F227)</f>
        <v>449099211</v>
      </c>
      <c r="G228" s="142">
        <f t="shared" si="72"/>
        <v>599810000</v>
      </c>
      <c r="H228" s="1031">
        <f t="shared" si="60"/>
        <v>61520000</v>
      </c>
      <c r="I228" s="1037">
        <f t="shared" si="61"/>
        <v>0.11428783741106095</v>
      </c>
      <c r="J228" s="143"/>
    </row>
  </sheetData>
  <mergeCells count="188">
    <mergeCell ref="B83:J83"/>
    <mergeCell ref="B181:J181"/>
    <mergeCell ref="C107:D107"/>
    <mergeCell ref="C109:D109"/>
    <mergeCell ref="A6:A7"/>
    <mergeCell ref="A8:A23"/>
    <mergeCell ref="B20:B22"/>
    <mergeCell ref="C20:C21"/>
    <mergeCell ref="C22:D22"/>
    <mergeCell ref="B23:D23"/>
    <mergeCell ref="F6:F7"/>
    <mergeCell ref="B8:B9"/>
    <mergeCell ref="C9:D9"/>
    <mergeCell ref="B12:B14"/>
    <mergeCell ref="C12:C13"/>
    <mergeCell ref="C14:D14"/>
    <mergeCell ref="B17:B19"/>
    <mergeCell ref="C17:C18"/>
    <mergeCell ref="C19:D19"/>
    <mergeCell ref="B15:B16"/>
    <mergeCell ref="C16:D16"/>
    <mergeCell ref="E6:E7"/>
    <mergeCell ref="G6:G7"/>
    <mergeCell ref="H6:H7"/>
    <mergeCell ref="I6:I7"/>
    <mergeCell ref="J6:J7"/>
    <mergeCell ref="C38:D38"/>
    <mergeCell ref="B42:B45"/>
    <mergeCell ref="C45:D45"/>
    <mergeCell ref="B25:D25"/>
    <mergeCell ref="E25:E26"/>
    <mergeCell ref="G25:G26"/>
    <mergeCell ref="H25:H26"/>
    <mergeCell ref="I25:I26"/>
    <mergeCell ref="J25:J26"/>
    <mergeCell ref="B29:B30"/>
    <mergeCell ref="C30:D30"/>
    <mergeCell ref="B24:J24"/>
    <mergeCell ref="A61:A82"/>
    <mergeCell ref="B58:J58"/>
    <mergeCell ref="F25:F26"/>
    <mergeCell ref="F59:F60"/>
    <mergeCell ref="B82:D82"/>
    <mergeCell ref="A59:A60"/>
    <mergeCell ref="B59:D59"/>
    <mergeCell ref="E59:E60"/>
    <mergeCell ref="G59:G60"/>
    <mergeCell ref="C61:C62"/>
    <mergeCell ref="B67:B71"/>
    <mergeCell ref="C68:C70"/>
    <mergeCell ref="C76:C77"/>
    <mergeCell ref="C79:C80"/>
    <mergeCell ref="C48:D48"/>
    <mergeCell ref="C49:C52"/>
    <mergeCell ref="C56:D56"/>
    <mergeCell ref="B57:D57"/>
    <mergeCell ref="A25:A26"/>
    <mergeCell ref="C35:D35"/>
    <mergeCell ref="B36:B38"/>
    <mergeCell ref="B61:B63"/>
    <mergeCell ref="B79:B81"/>
    <mergeCell ref="A1:J1"/>
    <mergeCell ref="A2:J2"/>
    <mergeCell ref="A3:J3"/>
    <mergeCell ref="A4:J4"/>
    <mergeCell ref="B10:B11"/>
    <mergeCell ref="C11:D11"/>
    <mergeCell ref="A27:A57"/>
    <mergeCell ref="B27:B28"/>
    <mergeCell ref="C28:D28"/>
    <mergeCell ref="C53:D53"/>
    <mergeCell ref="B49:B53"/>
    <mergeCell ref="C54:C55"/>
    <mergeCell ref="B54:B56"/>
    <mergeCell ref="B46:B48"/>
    <mergeCell ref="C46:C47"/>
    <mergeCell ref="B31:B35"/>
    <mergeCell ref="C31:C34"/>
    <mergeCell ref="C42:C44"/>
    <mergeCell ref="B39:B41"/>
    <mergeCell ref="C41:D41"/>
    <mergeCell ref="C39:C40"/>
    <mergeCell ref="C36:C37"/>
    <mergeCell ref="B5:J5"/>
    <mergeCell ref="B6:D6"/>
    <mergeCell ref="A84:A85"/>
    <mergeCell ref="A86:A110"/>
    <mergeCell ref="B101:B103"/>
    <mergeCell ref="C101:C102"/>
    <mergeCell ref="C103:D103"/>
    <mergeCell ref="B104:B105"/>
    <mergeCell ref="C105:D105"/>
    <mergeCell ref="J59:J60"/>
    <mergeCell ref="C63:D63"/>
    <mergeCell ref="C66:D66"/>
    <mergeCell ref="B64:B66"/>
    <mergeCell ref="C71:D71"/>
    <mergeCell ref="C73:D73"/>
    <mergeCell ref="C75:D75"/>
    <mergeCell ref="I59:I60"/>
    <mergeCell ref="C100:D100"/>
    <mergeCell ref="E84:E85"/>
    <mergeCell ref="F84:F85"/>
    <mergeCell ref="G84:G85"/>
    <mergeCell ref="H84:H85"/>
    <mergeCell ref="H59:H60"/>
    <mergeCell ref="C78:D78"/>
    <mergeCell ref="C81:D81"/>
    <mergeCell ref="B76:B78"/>
    <mergeCell ref="I84:I85"/>
    <mergeCell ref="B84:D84"/>
    <mergeCell ref="J84:J85"/>
    <mergeCell ref="B86:B100"/>
    <mergeCell ref="C86:C90"/>
    <mergeCell ref="C91:C93"/>
    <mergeCell ref="B106:B107"/>
    <mergeCell ref="C94:C99"/>
    <mergeCell ref="B111:J111"/>
    <mergeCell ref="B108:B109"/>
    <mergeCell ref="B110:D110"/>
    <mergeCell ref="J112:J113"/>
    <mergeCell ref="C114:C120"/>
    <mergeCell ref="C121:C124"/>
    <mergeCell ref="C125:C132"/>
    <mergeCell ref="C133:D133"/>
    <mergeCell ref="B134:B137"/>
    <mergeCell ref="C134:C136"/>
    <mergeCell ref="E112:E113"/>
    <mergeCell ref="F112:F113"/>
    <mergeCell ref="G112:G113"/>
    <mergeCell ref="H112:H113"/>
    <mergeCell ref="I112:I113"/>
    <mergeCell ref="B170:B172"/>
    <mergeCell ref="C170:C171"/>
    <mergeCell ref="C172:D172"/>
    <mergeCell ref="B180:D180"/>
    <mergeCell ref="A112:A113"/>
    <mergeCell ref="A114:A180"/>
    <mergeCell ref="C137:D137"/>
    <mergeCell ref="B138:B167"/>
    <mergeCell ref="C138:C143"/>
    <mergeCell ref="C144:C166"/>
    <mergeCell ref="C167:D167"/>
    <mergeCell ref="B168:B169"/>
    <mergeCell ref="C169:D169"/>
    <mergeCell ref="B112:D112"/>
    <mergeCell ref="B173:B175"/>
    <mergeCell ref="C173:C174"/>
    <mergeCell ref="C175:D175"/>
    <mergeCell ref="B176:B178"/>
    <mergeCell ref="C176:C177"/>
    <mergeCell ref="C178:D178"/>
    <mergeCell ref="G182:G183"/>
    <mergeCell ref="H182:H183"/>
    <mergeCell ref="I182:I183"/>
    <mergeCell ref="J182:J183"/>
    <mergeCell ref="B184:B190"/>
    <mergeCell ref="C185:C186"/>
    <mergeCell ref="C188:C189"/>
    <mergeCell ref="C190:D190"/>
    <mergeCell ref="B191:B203"/>
    <mergeCell ref="C191:C198"/>
    <mergeCell ref="C199:C202"/>
    <mergeCell ref="C203:D203"/>
    <mergeCell ref="B182:D182"/>
    <mergeCell ref="E182:E183"/>
    <mergeCell ref="F182:F183"/>
    <mergeCell ref="B228:D228"/>
    <mergeCell ref="A182:A183"/>
    <mergeCell ref="A184:A228"/>
    <mergeCell ref="C222:D222"/>
    <mergeCell ref="B223:B225"/>
    <mergeCell ref="C223:C224"/>
    <mergeCell ref="C225:D225"/>
    <mergeCell ref="B226:B227"/>
    <mergeCell ref="C227:D227"/>
    <mergeCell ref="C209:D209"/>
    <mergeCell ref="B210:B212"/>
    <mergeCell ref="C212:D212"/>
    <mergeCell ref="B213:B218"/>
    <mergeCell ref="C213:C215"/>
    <mergeCell ref="C216:C217"/>
    <mergeCell ref="C218:D218"/>
    <mergeCell ref="B219:B220"/>
    <mergeCell ref="C220:D220"/>
    <mergeCell ref="B221:B222"/>
    <mergeCell ref="B204:B209"/>
    <mergeCell ref="C204:C208"/>
  </mergeCells>
  <phoneticPr fontId="2" type="noConversion"/>
  <printOptions horizontalCentered="1"/>
  <pageMargins left="0.43307086614173229" right="0.43307086614173229" top="0.74803149606299213" bottom="0.74803149606299213" header="0.31496062992125984" footer="0.31496062992125984"/>
  <pageSetup paperSize="8" scale="9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tabSelected="1" topLeftCell="A2" zoomScale="85" zoomScaleNormal="85" workbookViewId="0">
      <selection sqref="A1:I119"/>
    </sheetView>
  </sheetViews>
  <sheetFormatPr defaultRowHeight="16.5" x14ac:dyDescent="0.3"/>
  <cols>
    <col min="1" max="1" width="13.25" customWidth="1"/>
    <col min="2" max="2" width="14.25" customWidth="1"/>
    <col min="3" max="3" width="23" customWidth="1"/>
    <col min="4" max="5" width="18.25" customWidth="1"/>
    <col min="6" max="6" width="19" customWidth="1"/>
    <col min="7" max="7" width="18.625" customWidth="1"/>
    <col min="8" max="8" width="10.625" customWidth="1"/>
    <col min="9" max="9" width="33.25" customWidth="1"/>
  </cols>
  <sheetData>
    <row r="1" spans="1:9" x14ac:dyDescent="0.3">
      <c r="A1" s="1227"/>
      <c r="B1" s="1227"/>
      <c r="C1" s="1227"/>
      <c r="D1" s="1227"/>
      <c r="E1" s="1227"/>
      <c r="F1" s="1227"/>
      <c r="G1" s="1227"/>
      <c r="H1" s="1227"/>
      <c r="I1" s="1227"/>
    </row>
    <row r="2" spans="1:9" ht="26.45" customHeight="1" x14ac:dyDescent="0.3">
      <c r="A2" s="1464" t="s">
        <v>402</v>
      </c>
      <c r="B2" s="1465"/>
      <c r="C2" s="1465"/>
      <c r="D2" s="1465"/>
      <c r="E2" s="1465"/>
      <c r="F2" s="1465"/>
      <c r="G2" s="1465"/>
      <c r="H2" s="1465"/>
      <c r="I2" s="1465"/>
    </row>
    <row r="3" spans="1:9" ht="17.45" customHeight="1" x14ac:dyDescent="0.3">
      <c r="A3" s="1561" t="s">
        <v>489</v>
      </c>
      <c r="B3" s="1561"/>
      <c r="C3" s="1561"/>
      <c r="D3" s="1561"/>
      <c r="E3" s="1561"/>
      <c r="F3" s="1561"/>
      <c r="G3" s="1561"/>
      <c r="H3" s="1561"/>
      <c r="I3" s="1561"/>
    </row>
    <row r="4" spans="1:9" ht="17.45" customHeight="1" x14ac:dyDescent="0.3">
      <c r="A4" s="1561"/>
      <c r="B4" s="1561"/>
      <c r="C4" s="1561"/>
      <c r="D4" s="1561"/>
      <c r="E4" s="1561"/>
      <c r="F4" s="1561"/>
      <c r="G4" s="1561"/>
      <c r="H4" s="1561"/>
      <c r="I4" s="1561"/>
    </row>
    <row r="5" spans="1:9" ht="17.25" thickBot="1" x14ac:dyDescent="0.35">
      <c r="A5" s="1466" t="s">
        <v>736</v>
      </c>
      <c r="B5" s="1466"/>
      <c r="C5" s="1466"/>
      <c r="D5" s="1466"/>
      <c r="E5" s="1466"/>
      <c r="F5" s="1466"/>
      <c r="G5" s="1466"/>
      <c r="H5" s="1466"/>
      <c r="I5" s="1466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394</v>
      </c>
      <c r="F6" s="1273" t="s">
        <v>310</v>
      </c>
      <c r="G6" s="1273" t="s">
        <v>59</v>
      </c>
      <c r="H6" s="127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276"/>
      <c r="I7" s="1278"/>
    </row>
    <row r="8" spans="1:9" ht="21.75" customHeight="1" x14ac:dyDescent="0.3">
      <c r="A8" s="1372" t="s">
        <v>165</v>
      </c>
      <c r="B8" s="1309" t="s">
        <v>166</v>
      </c>
      <c r="C8" s="225" t="s">
        <v>147</v>
      </c>
      <c r="D8" s="236"/>
      <c r="E8" s="236"/>
      <c r="F8" s="236"/>
      <c r="G8" s="243"/>
      <c r="H8" s="502"/>
      <c r="I8" s="293"/>
    </row>
    <row r="9" spans="1:9" ht="21.75" customHeight="1" x14ac:dyDescent="0.3">
      <c r="A9" s="1372"/>
      <c r="B9" s="1309"/>
      <c r="C9" s="226" t="s">
        <v>150</v>
      </c>
      <c r="D9" s="231"/>
      <c r="E9" s="231"/>
      <c r="F9" s="231"/>
      <c r="G9" s="243"/>
      <c r="H9" s="502"/>
      <c r="I9" s="294"/>
    </row>
    <row r="10" spans="1:9" ht="21.75" customHeight="1" x14ac:dyDescent="0.3">
      <c r="A10" s="1372"/>
      <c r="B10" s="1309"/>
      <c r="C10" s="226" t="s">
        <v>151</v>
      </c>
      <c r="D10" s="231"/>
      <c r="E10" s="231"/>
      <c r="F10" s="231"/>
      <c r="G10" s="243"/>
      <c r="H10" s="502"/>
      <c r="I10" s="294"/>
    </row>
    <row r="11" spans="1:9" ht="21.75" customHeight="1" x14ac:dyDescent="0.3">
      <c r="A11" s="1372"/>
      <c r="B11" s="1309"/>
      <c r="C11" s="226" t="s">
        <v>152</v>
      </c>
      <c r="D11" s="231"/>
      <c r="E11" s="231"/>
      <c r="F11" s="231"/>
      <c r="G11" s="243"/>
      <c r="H11" s="502"/>
      <c r="I11" s="294"/>
    </row>
    <row r="12" spans="1:9" ht="21.75" customHeight="1" x14ac:dyDescent="0.3">
      <c r="A12" s="1372"/>
      <c r="B12" s="1288"/>
      <c r="C12" s="226" t="s">
        <v>153</v>
      </c>
      <c r="D12" s="231"/>
      <c r="E12" s="231"/>
      <c r="F12" s="231"/>
      <c r="G12" s="243"/>
      <c r="H12" s="502"/>
      <c r="I12" s="294"/>
    </row>
    <row r="13" spans="1:9" ht="18" thickBot="1" x14ac:dyDescent="0.35">
      <c r="A13" s="1373"/>
      <c r="B13" s="1556" t="s">
        <v>465</v>
      </c>
      <c r="C13" s="1556"/>
      <c r="D13" s="232"/>
      <c r="E13" s="232"/>
      <c r="F13" s="232"/>
      <c r="G13" s="244"/>
      <c r="H13" s="825"/>
      <c r="I13" s="295"/>
    </row>
    <row r="14" spans="1:9" ht="19.5" customHeight="1" x14ac:dyDescent="0.3">
      <c r="A14" s="1401" t="s">
        <v>157</v>
      </c>
      <c r="B14" s="1309" t="s">
        <v>158</v>
      </c>
      <c r="C14" s="225" t="s">
        <v>142</v>
      </c>
      <c r="D14" s="236"/>
      <c r="E14" s="236"/>
      <c r="F14" s="236"/>
      <c r="G14" s="243"/>
      <c r="H14" s="502"/>
      <c r="I14" s="296"/>
    </row>
    <row r="15" spans="1:9" ht="19.5" customHeight="1" x14ac:dyDescent="0.3">
      <c r="A15" s="1401"/>
      <c r="B15" s="1309"/>
      <c r="C15" s="226" t="s">
        <v>143</v>
      </c>
      <c r="D15" s="231"/>
      <c r="E15" s="231"/>
      <c r="F15" s="231"/>
      <c r="G15" s="243"/>
      <c r="H15" s="502"/>
      <c r="I15" s="297"/>
    </row>
    <row r="16" spans="1:9" ht="19.5" customHeight="1" x14ac:dyDescent="0.3">
      <c r="A16" s="1401"/>
      <c r="B16" s="1309"/>
      <c r="C16" s="226" t="s">
        <v>144</v>
      </c>
      <c r="D16" s="231"/>
      <c r="E16" s="231"/>
      <c r="F16" s="231"/>
      <c r="G16" s="243"/>
      <c r="H16" s="502"/>
      <c r="I16" s="297"/>
    </row>
    <row r="17" spans="1:9" ht="19.5" customHeight="1" x14ac:dyDescent="0.3">
      <c r="A17" s="1401"/>
      <c r="B17" s="1309"/>
      <c r="C17" s="226" t="s">
        <v>145</v>
      </c>
      <c r="D17" s="231"/>
      <c r="E17" s="231"/>
      <c r="F17" s="231"/>
      <c r="G17" s="243"/>
      <c r="H17" s="502"/>
      <c r="I17" s="297"/>
    </row>
    <row r="18" spans="1:9" ht="19.5" customHeight="1" x14ac:dyDescent="0.3">
      <c r="A18" s="1401"/>
      <c r="B18" s="1309"/>
      <c r="C18" s="225" t="s">
        <v>146</v>
      </c>
      <c r="D18" s="231"/>
      <c r="E18" s="231"/>
      <c r="F18" s="231"/>
      <c r="G18" s="243"/>
      <c r="H18" s="502"/>
      <c r="I18" s="294"/>
    </row>
    <row r="19" spans="1:9" ht="19.5" customHeight="1" x14ac:dyDescent="0.3">
      <c r="A19" s="1401"/>
      <c r="B19" s="1309"/>
      <c r="C19" s="227" t="s">
        <v>148</v>
      </c>
      <c r="D19" s="231"/>
      <c r="E19" s="231"/>
      <c r="F19" s="231"/>
      <c r="G19" s="243"/>
      <c r="H19" s="502"/>
      <c r="I19" s="294"/>
    </row>
    <row r="20" spans="1:9" ht="19.5" customHeight="1" x14ac:dyDescent="0.3">
      <c r="A20" s="1401"/>
      <c r="B20" s="1309"/>
      <c r="C20" s="227" t="s">
        <v>149</v>
      </c>
      <c r="D20" s="231"/>
      <c r="E20" s="231"/>
      <c r="F20" s="231"/>
      <c r="G20" s="243"/>
      <c r="H20" s="502"/>
      <c r="I20" s="294"/>
    </row>
    <row r="21" spans="1:9" ht="19.5" customHeight="1" x14ac:dyDescent="0.3">
      <c r="A21" s="1401"/>
      <c r="B21" s="1288"/>
      <c r="C21" s="227" t="s">
        <v>167</v>
      </c>
      <c r="D21" s="65"/>
      <c r="E21" s="65"/>
      <c r="F21" s="35"/>
      <c r="G21" s="36"/>
      <c r="H21" s="502"/>
      <c r="I21" s="37"/>
    </row>
    <row r="22" spans="1:9" ht="17.25" thickBot="1" x14ac:dyDescent="0.35">
      <c r="A22" s="1460"/>
      <c r="B22" s="1403" t="s">
        <v>465</v>
      </c>
      <c r="C22" s="1404"/>
      <c r="D22" s="40"/>
      <c r="E22" s="40"/>
      <c r="F22" s="40"/>
      <c r="G22" s="133"/>
      <c r="H22" s="709"/>
      <c r="I22" s="41"/>
    </row>
    <row r="23" spans="1:9" ht="27.6" customHeight="1" x14ac:dyDescent="0.3">
      <c r="A23" s="1371" t="s">
        <v>159</v>
      </c>
      <c r="B23" s="1308" t="s">
        <v>160</v>
      </c>
      <c r="C23" s="147" t="s">
        <v>113</v>
      </c>
      <c r="D23" s="70">
        <v>341953000</v>
      </c>
      <c r="E23" s="70">
        <v>327027380</v>
      </c>
      <c r="F23" s="71">
        <v>329028000</v>
      </c>
      <c r="G23" s="907">
        <f t="shared" ref="G23:G49" si="0">F23-D23</f>
        <v>-12925000</v>
      </c>
      <c r="H23" s="163">
        <f>G23/D23*100%</f>
        <v>-3.7797592066746016E-2</v>
      </c>
      <c r="I23" s="812" t="s">
        <v>672</v>
      </c>
    </row>
    <row r="24" spans="1:9" ht="15" customHeight="1" x14ac:dyDescent="0.3">
      <c r="A24" s="1372"/>
      <c r="B24" s="1309"/>
      <c r="C24" s="320" t="s">
        <v>63</v>
      </c>
      <c r="D24" s="44">
        <v>34698000</v>
      </c>
      <c r="E24" s="44">
        <v>34698000</v>
      </c>
      <c r="F24" s="884">
        <v>34698000</v>
      </c>
      <c r="G24" s="161">
        <f t="shared" si="0"/>
        <v>0</v>
      </c>
      <c r="H24" s="164">
        <f t="shared" ref="H24" si="1">G24/D24*100</f>
        <v>0</v>
      </c>
      <c r="I24" s="813"/>
    </row>
    <row r="25" spans="1:9" ht="15" customHeight="1" x14ac:dyDescent="0.3">
      <c r="A25" s="1372"/>
      <c r="B25" s="1309"/>
      <c r="C25" s="320" t="s">
        <v>30</v>
      </c>
      <c r="D25" s="44"/>
      <c r="E25" s="44"/>
      <c r="F25" s="66"/>
      <c r="G25" s="600"/>
      <c r="H25" s="164"/>
      <c r="I25" s="813"/>
    </row>
    <row r="26" spans="1:9" ht="15" customHeight="1" x14ac:dyDescent="0.3">
      <c r="A26" s="1372"/>
      <c r="B26" s="1288"/>
      <c r="C26" s="320" t="s">
        <v>64</v>
      </c>
      <c r="D26" s="44"/>
      <c r="E26" s="44"/>
      <c r="F26" s="66"/>
      <c r="G26" s="600"/>
      <c r="H26" s="164"/>
      <c r="I26" s="813"/>
    </row>
    <row r="27" spans="1:9" ht="17.25" thickBot="1" x14ac:dyDescent="0.35">
      <c r="A27" s="1373"/>
      <c r="B27" s="1368" t="s">
        <v>466</v>
      </c>
      <c r="C27" s="1394"/>
      <c r="D27" s="519">
        <f>SUM(D23:D26)</f>
        <v>376651000</v>
      </c>
      <c r="E27" s="519">
        <f>SUM(E23:E26)</f>
        <v>361725380</v>
      </c>
      <c r="F27" s="519">
        <f t="shared" ref="F27" si="2">SUM(F23:F26)</f>
        <v>363726000</v>
      </c>
      <c r="G27" s="749">
        <f t="shared" si="0"/>
        <v>-12925000</v>
      </c>
      <c r="H27" s="650">
        <f t="shared" ref="H27" si="3">G27/D27*100</f>
        <v>-3.4315586577494819</v>
      </c>
      <c r="I27" s="814"/>
    </row>
    <row r="28" spans="1:9" ht="20.25" customHeight="1" x14ac:dyDescent="0.3">
      <c r="A28" s="1325" t="s">
        <v>161</v>
      </c>
      <c r="B28" s="1288" t="s">
        <v>162</v>
      </c>
      <c r="C28" s="151" t="s">
        <v>6</v>
      </c>
      <c r="D28" s="885">
        <v>1000000</v>
      </c>
      <c r="E28" s="885">
        <v>0</v>
      </c>
      <c r="F28" s="885"/>
      <c r="G28" s="35">
        <f t="shared" si="0"/>
        <v>-1000000</v>
      </c>
      <c r="H28" s="502">
        <f>G28/D28*100%</f>
        <v>-1</v>
      </c>
      <c r="I28" s="815" t="s">
        <v>673</v>
      </c>
    </row>
    <row r="29" spans="1:9" ht="20.25" customHeight="1" x14ac:dyDescent="0.3">
      <c r="A29" s="1326"/>
      <c r="B29" s="1289"/>
      <c r="C29" s="151" t="s">
        <v>7</v>
      </c>
      <c r="D29" s="65">
        <v>2000000</v>
      </c>
      <c r="E29" s="65">
        <v>490000</v>
      </c>
      <c r="F29" s="36">
        <v>1000000</v>
      </c>
      <c r="G29" s="35">
        <f t="shared" si="0"/>
        <v>-1000000</v>
      </c>
      <c r="H29" s="502">
        <f t="shared" ref="H29:H30" si="4">G29/D29*100%</f>
        <v>-0.5</v>
      </c>
      <c r="I29" s="643" t="s">
        <v>674</v>
      </c>
    </row>
    <row r="30" spans="1:9" ht="17.25" thickBot="1" x14ac:dyDescent="0.35">
      <c r="A30" s="1327"/>
      <c r="B30" s="1374" t="s">
        <v>466</v>
      </c>
      <c r="C30" s="1374"/>
      <c r="D30" s="539">
        <f>SUM(D28:D29)</f>
        <v>3000000</v>
      </c>
      <c r="E30" s="539">
        <f t="shared" ref="E30:F30" si="5">SUM(E28:E29)</f>
        <v>490000</v>
      </c>
      <c r="F30" s="601">
        <f t="shared" si="5"/>
        <v>1000000</v>
      </c>
      <c r="G30" s="603">
        <f t="shared" si="0"/>
        <v>-2000000</v>
      </c>
      <c r="H30" s="715">
        <f t="shared" si="4"/>
        <v>-0.66666666666666663</v>
      </c>
      <c r="I30" s="42"/>
    </row>
    <row r="31" spans="1:9" ht="15" customHeight="1" x14ac:dyDescent="0.3">
      <c r="A31" s="1558" t="s">
        <v>163</v>
      </c>
      <c r="B31" s="1308" t="s">
        <v>168</v>
      </c>
      <c r="C31" s="147" t="s">
        <v>154</v>
      </c>
      <c r="D31" s="71"/>
      <c r="E31" s="71"/>
      <c r="F31" s="69"/>
      <c r="G31" s="69"/>
      <c r="H31" s="502"/>
      <c r="I31" s="79"/>
    </row>
    <row r="32" spans="1:9" ht="15" customHeight="1" x14ac:dyDescent="0.3">
      <c r="A32" s="1559"/>
      <c r="B32" s="1288"/>
      <c r="C32" s="320" t="s">
        <v>155</v>
      </c>
      <c r="D32" s="66"/>
      <c r="E32" s="66"/>
      <c r="F32" s="66"/>
      <c r="G32" s="66"/>
      <c r="H32" s="502"/>
      <c r="I32" s="83"/>
    </row>
    <row r="33" spans="1:9" ht="17.25" thickBot="1" x14ac:dyDescent="0.35">
      <c r="A33" s="1560"/>
      <c r="B33" s="321"/>
      <c r="C33" s="321" t="s">
        <v>156</v>
      </c>
      <c r="D33" s="73"/>
      <c r="E33" s="73"/>
      <c r="F33" s="73"/>
      <c r="G33" s="40"/>
      <c r="H33" s="811"/>
      <c r="I33" s="81"/>
    </row>
    <row r="34" spans="1:9" ht="24" customHeight="1" x14ac:dyDescent="0.3">
      <c r="A34" s="298"/>
      <c r="B34" s="1309" t="s">
        <v>169</v>
      </c>
      <c r="C34" s="319" t="s">
        <v>183</v>
      </c>
      <c r="D34" s="69"/>
      <c r="E34" s="69"/>
      <c r="F34" s="69"/>
      <c r="G34" s="71"/>
      <c r="H34" s="502"/>
      <c r="I34" s="240"/>
    </row>
    <row r="35" spans="1:9" ht="24" customHeight="1" x14ac:dyDescent="0.3">
      <c r="A35" s="625"/>
      <c r="B35" s="1309"/>
      <c r="C35" s="624" t="s">
        <v>184</v>
      </c>
      <c r="D35" s="69"/>
      <c r="E35" s="69"/>
      <c r="F35" s="69"/>
      <c r="G35" s="69"/>
      <c r="H35" s="502"/>
      <c r="I35" s="240"/>
    </row>
    <row r="36" spans="1:9" ht="24" customHeight="1" x14ac:dyDescent="0.3">
      <c r="A36" s="1551" t="s">
        <v>4</v>
      </c>
      <c r="B36" s="1288"/>
      <c r="C36" s="146" t="s">
        <v>360</v>
      </c>
      <c r="D36" s="66"/>
      <c r="E36" s="66"/>
      <c r="F36" s="44"/>
      <c r="G36" s="66"/>
      <c r="H36" s="502"/>
      <c r="I36" s="83"/>
    </row>
    <row r="37" spans="1:9" ht="17.25" thickBot="1" x14ac:dyDescent="0.35">
      <c r="A37" s="1552"/>
      <c r="B37" s="1399" t="s">
        <v>476</v>
      </c>
      <c r="C37" s="1400"/>
      <c r="D37" s="241"/>
      <c r="E37" s="241"/>
      <c r="F37" s="241"/>
      <c r="G37" s="158"/>
      <c r="H37" s="709"/>
      <c r="I37" s="42"/>
    </row>
    <row r="38" spans="1:9" ht="19.5" customHeight="1" x14ac:dyDescent="0.3">
      <c r="A38" s="1557" t="s">
        <v>170</v>
      </c>
      <c r="B38" s="1308" t="s">
        <v>171</v>
      </c>
      <c r="C38" s="149" t="s">
        <v>9</v>
      </c>
      <c r="D38" s="68">
        <v>23658646</v>
      </c>
      <c r="E38" s="68">
        <v>23658646</v>
      </c>
      <c r="F38" s="43">
        <v>23658646</v>
      </c>
      <c r="G38" s="36">
        <f t="shared" si="0"/>
        <v>0</v>
      </c>
      <c r="H38" s="502">
        <f t="shared" ref="H38:H40" si="6">G38/D38*100</f>
        <v>0</v>
      </c>
      <c r="I38" s="816" t="s">
        <v>490</v>
      </c>
    </row>
    <row r="39" spans="1:9" ht="19.5" customHeight="1" x14ac:dyDescent="0.3">
      <c r="A39" s="1551"/>
      <c r="B39" s="1288"/>
      <c r="C39" s="763" t="s">
        <v>174</v>
      </c>
      <c r="D39" s="75">
        <v>3249996</v>
      </c>
      <c r="E39" s="75">
        <v>3249996</v>
      </c>
      <c r="F39" s="133">
        <v>3249996</v>
      </c>
      <c r="G39" s="36">
        <f t="shared" si="0"/>
        <v>0</v>
      </c>
      <c r="H39" s="502">
        <f t="shared" si="6"/>
        <v>0</v>
      </c>
      <c r="I39" s="817"/>
    </row>
    <row r="40" spans="1:9" ht="17.25" thickBot="1" x14ac:dyDescent="0.35">
      <c r="A40" s="1552"/>
      <c r="B40" s="1312" t="s">
        <v>466</v>
      </c>
      <c r="C40" s="1313"/>
      <c r="D40" s="519">
        <f>SUM(D38:D39)</f>
        <v>26908642</v>
      </c>
      <c r="E40" s="519">
        <f>SUM(E38:E39)</f>
        <v>26908642</v>
      </c>
      <c r="F40" s="519">
        <f t="shared" ref="F40" si="7">SUM(F38:F39)</f>
        <v>26908642</v>
      </c>
      <c r="G40" s="520">
        <f t="shared" si="0"/>
        <v>0</v>
      </c>
      <c r="H40" s="682">
        <f t="shared" si="6"/>
        <v>0</v>
      </c>
      <c r="I40" s="814"/>
    </row>
    <row r="41" spans="1:9" ht="20.25" customHeight="1" x14ac:dyDescent="0.3">
      <c r="A41" s="1553" t="s">
        <v>172</v>
      </c>
      <c r="B41" s="1323" t="s">
        <v>172</v>
      </c>
      <c r="C41" s="759" t="s">
        <v>355</v>
      </c>
      <c r="D41" s="71"/>
      <c r="E41" s="71"/>
      <c r="F41" s="70"/>
      <c r="G41" s="155"/>
      <c r="H41" s="681"/>
      <c r="I41" s="815"/>
    </row>
    <row r="42" spans="1:9" ht="20.25" customHeight="1" x14ac:dyDescent="0.3">
      <c r="A42" s="1554"/>
      <c r="B42" s="1289"/>
      <c r="C42" s="761" t="s">
        <v>173</v>
      </c>
      <c r="D42" s="884">
        <v>10000</v>
      </c>
      <c r="E42" s="884">
        <v>6820</v>
      </c>
      <c r="F42" s="44">
        <v>8298</v>
      </c>
      <c r="G42" s="35">
        <f t="shared" si="0"/>
        <v>-1702</v>
      </c>
      <c r="H42" s="218">
        <f>G42/D42*100%</f>
        <v>-0.17019999999999999</v>
      </c>
      <c r="I42" s="813" t="s">
        <v>491</v>
      </c>
    </row>
    <row r="43" spans="1:9" ht="20.25" customHeight="1" x14ac:dyDescent="0.3">
      <c r="A43" s="1554"/>
      <c r="B43" s="1289"/>
      <c r="C43" s="761" t="s">
        <v>175</v>
      </c>
      <c r="D43" s="66"/>
      <c r="E43" s="66"/>
      <c r="F43" s="44"/>
      <c r="G43" s="35"/>
      <c r="H43" s="502"/>
      <c r="I43" s="83"/>
    </row>
    <row r="44" spans="1:9" ht="20.25" customHeight="1" x14ac:dyDescent="0.3">
      <c r="A44" s="1554"/>
      <c r="B44" s="1289"/>
      <c r="C44" s="761" t="s">
        <v>10</v>
      </c>
      <c r="D44" s="66"/>
      <c r="E44" s="66"/>
      <c r="F44" s="44"/>
      <c r="G44" s="35"/>
      <c r="H44" s="502"/>
      <c r="I44" s="83"/>
    </row>
    <row r="45" spans="1:9" ht="17.25" thickBot="1" x14ac:dyDescent="0.35">
      <c r="A45" s="1555"/>
      <c r="B45" s="1374" t="s">
        <v>465</v>
      </c>
      <c r="C45" s="1374"/>
      <c r="D45" s="519">
        <f>SUM(D42:D44)</f>
        <v>10000</v>
      </c>
      <c r="E45" s="519">
        <f t="shared" ref="E45:F45" si="8">SUM(E42:E44)</f>
        <v>6820</v>
      </c>
      <c r="F45" s="519">
        <f t="shared" si="8"/>
        <v>8298</v>
      </c>
      <c r="G45" s="605">
        <f t="shared" si="0"/>
        <v>-1702</v>
      </c>
      <c r="H45" s="682">
        <f>G45/D45*100%</f>
        <v>-0.17019999999999999</v>
      </c>
      <c r="I45" s="81"/>
    </row>
    <row r="46" spans="1:9" ht="24.75" customHeight="1" x14ac:dyDescent="0.3">
      <c r="A46" s="1546" t="s">
        <v>176</v>
      </c>
      <c r="B46" s="1549" t="s">
        <v>177</v>
      </c>
      <c r="C46" s="760" t="s">
        <v>178</v>
      </c>
      <c r="D46" s="69"/>
      <c r="E46" s="69"/>
      <c r="F46" s="221"/>
      <c r="G46" s="36"/>
      <c r="H46" s="502"/>
      <c r="I46" s="240"/>
    </row>
    <row r="47" spans="1:9" ht="24.75" customHeight="1" x14ac:dyDescent="0.3">
      <c r="A47" s="1547"/>
      <c r="B47" s="1550"/>
      <c r="C47" s="170" t="s">
        <v>179</v>
      </c>
      <c r="D47" s="66"/>
      <c r="E47" s="66"/>
      <c r="F47" s="44"/>
      <c r="G47" s="36"/>
      <c r="H47" s="502"/>
      <c r="I47" s="83"/>
    </row>
    <row r="48" spans="1:9" ht="17.25" thickBot="1" x14ac:dyDescent="0.35">
      <c r="A48" s="1548"/>
      <c r="B48" s="1390" t="s">
        <v>466</v>
      </c>
      <c r="C48" s="1390"/>
      <c r="D48" s="131"/>
      <c r="E48" s="131"/>
      <c r="F48" s="131"/>
      <c r="G48" s="133"/>
      <c r="H48" s="502"/>
      <c r="I48" s="135"/>
    </row>
    <row r="49" spans="1:9" ht="17.25" thickBot="1" x14ac:dyDescent="0.35">
      <c r="A49" s="1391" t="s">
        <v>669</v>
      </c>
      <c r="B49" s="1392"/>
      <c r="C49" s="1393"/>
      <c r="D49" s="302">
        <f>SUM(D22,D27,D30,D37,D40,D45,D48)</f>
        <v>406569642</v>
      </c>
      <c r="E49" s="302">
        <f t="shared" ref="E49:F49" si="9">SUM(E22,E27,E30,E37,E40,E45,E48)</f>
        <v>389130842</v>
      </c>
      <c r="F49" s="302">
        <f t="shared" si="9"/>
        <v>391642940</v>
      </c>
      <c r="G49" s="606">
        <f t="shared" si="0"/>
        <v>-14926702</v>
      </c>
      <c r="H49" s="523">
        <f>G49/D49*100%</f>
        <v>-3.6713764280511631E-2</v>
      </c>
      <c r="I49" s="78"/>
    </row>
    <row r="50" spans="1:9" ht="17.25" thickBot="1" x14ac:dyDescent="0.35">
      <c r="A50" s="1527" t="s">
        <v>737</v>
      </c>
      <c r="B50" s="1528"/>
      <c r="C50" s="1528"/>
      <c r="D50" s="1528"/>
      <c r="E50" s="1528"/>
      <c r="F50" s="1528"/>
      <c r="G50" s="1528"/>
      <c r="H50" s="1528"/>
      <c r="I50" s="1528"/>
    </row>
    <row r="51" spans="1:9" ht="17.45" customHeight="1" x14ac:dyDescent="0.3">
      <c r="A51" s="1314" t="s">
        <v>29</v>
      </c>
      <c r="B51" s="1315"/>
      <c r="C51" s="1315"/>
      <c r="D51" s="1273" t="s">
        <v>237</v>
      </c>
      <c r="E51" s="1273" t="s">
        <v>395</v>
      </c>
      <c r="F51" s="1273" t="s">
        <v>318</v>
      </c>
      <c r="G51" s="1273" t="s">
        <v>59</v>
      </c>
      <c r="H51" s="1275" t="s">
        <v>49</v>
      </c>
      <c r="I51" s="1277" t="s">
        <v>61</v>
      </c>
    </row>
    <row r="52" spans="1:9" ht="18" customHeight="1" thickBot="1" x14ac:dyDescent="0.35">
      <c r="A52" s="84" t="s">
        <v>0</v>
      </c>
      <c r="B52" s="136" t="s">
        <v>1</v>
      </c>
      <c r="C52" s="136" t="s">
        <v>2</v>
      </c>
      <c r="D52" s="1274"/>
      <c r="E52" s="1274"/>
      <c r="F52" s="1274"/>
      <c r="G52" s="1274"/>
      <c r="H52" s="1276"/>
      <c r="I52" s="1278"/>
    </row>
    <row r="53" spans="1:9" x14ac:dyDescent="0.3">
      <c r="A53" s="159" t="s">
        <v>185</v>
      </c>
      <c r="B53" s="1323" t="s">
        <v>186</v>
      </c>
      <c r="C53" s="536" t="s">
        <v>17</v>
      </c>
      <c r="D53" s="35">
        <v>159888000</v>
      </c>
      <c r="E53" s="35">
        <v>146564000</v>
      </c>
      <c r="F53" s="35">
        <v>159888000</v>
      </c>
      <c r="G53" s="155">
        <f>F53-D53</f>
        <v>0</v>
      </c>
      <c r="H53" s="453">
        <f>G53/D53*100%</f>
        <v>0</v>
      </c>
      <c r="I53" s="816"/>
    </row>
    <row r="54" spans="1:9" x14ac:dyDescent="0.3">
      <c r="A54" s="64"/>
      <c r="B54" s="1289"/>
      <c r="C54" s="150" t="s">
        <v>32</v>
      </c>
      <c r="D54" s="35">
        <v>45670200</v>
      </c>
      <c r="E54" s="35">
        <v>39328200</v>
      </c>
      <c r="F54" s="35">
        <v>45314230</v>
      </c>
      <c r="G54" s="35">
        <f t="shared" ref="G54:G111" si="10">F54-D54</f>
        <v>-355970</v>
      </c>
      <c r="H54" s="130">
        <f t="shared" ref="H54:H111" si="11">G54/D54*100%</f>
        <v>-7.7943604363458008E-3</v>
      </c>
      <c r="I54" s="1061" t="s">
        <v>594</v>
      </c>
    </row>
    <row r="55" spans="1:9" x14ac:dyDescent="0.3">
      <c r="A55" s="64"/>
      <c r="B55" s="1289"/>
      <c r="C55" s="150" t="s">
        <v>180</v>
      </c>
      <c r="D55" s="36"/>
      <c r="E55" s="36"/>
      <c r="F55" s="608"/>
      <c r="G55" s="36"/>
      <c r="H55" s="130"/>
      <c r="I55" s="818"/>
    </row>
    <row r="56" spans="1:9" ht="22.5" customHeight="1" x14ac:dyDescent="0.3">
      <c r="A56" s="64"/>
      <c r="B56" s="1289"/>
      <c r="C56" s="150" t="s">
        <v>181</v>
      </c>
      <c r="D56" s="35">
        <v>15991200</v>
      </c>
      <c r="E56" s="35">
        <v>14658600</v>
      </c>
      <c r="F56" s="35">
        <v>15991200</v>
      </c>
      <c r="G56" s="36">
        <f t="shared" si="10"/>
        <v>0</v>
      </c>
      <c r="H56" s="130">
        <f t="shared" si="11"/>
        <v>0</v>
      </c>
      <c r="I56" s="818"/>
    </row>
    <row r="57" spans="1:9" ht="35.450000000000003" customHeight="1" x14ac:dyDescent="0.3">
      <c r="A57" s="64"/>
      <c r="B57" s="1289"/>
      <c r="C57" s="150" t="s">
        <v>33</v>
      </c>
      <c r="D57" s="35">
        <v>20523600</v>
      </c>
      <c r="E57" s="35">
        <v>17456510</v>
      </c>
      <c r="F57" s="35">
        <v>20879570</v>
      </c>
      <c r="G57" s="36">
        <f t="shared" si="10"/>
        <v>355970</v>
      </c>
      <c r="H57" s="130">
        <f t="shared" si="11"/>
        <v>1.7344423005710499E-2</v>
      </c>
      <c r="I57" s="1061" t="s">
        <v>492</v>
      </c>
    </row>
    <row r="58" spans="1:9" ht="22.5" customHeight="1" x14ac:dyDescent="0.3">
      <c r="A58" s="64"/>
      <c r="B58" s="1289"/>
      <c r="C58" s="150" t="s">
        <v>18</v>
      </c>
      <c r="D58" s="35">
        <v>1900000</v>
      </c>
      <c r="E58" s="35">
        <v>1900000</v>
      </c>
      <c r="F58" s="35">
        <v>1900000</v>
      </c>
      <c r="G58" s="36">
        <f t="shared" si="10"/>
        <v>0</v>
      </c>
      <c r="H58" s="130">
        <f t="shared" si="11"/>
        <v>0</v>
      </c>
      <c r="I58" s="818"/>
    </row>
    <row r="59" spans="1:9" ht="17.25" thickBot="1" x14ac:dyDescent="0.35">
      <c r="A59" s="64"/>
      <c r="B59" s="1324"/>
      <c r="C59" s="1109" t="s">
        <v>483</v>
      </c>
      <c r="D59" s="539">
        <f>SUM(D53:D58)</f>
        <v>243973000</v>
      </c>
      <c r="E59" s="539">
        <f>SUM(E53:E58)</f>
        <v>219907310</v>
      </c>
      <c r="F59" s="539">
        <f t="shared" ref="F59" si="12">SUM(F53:F58)</f>
        <v>243973000</v>
      </c>
      <c r="G59" s="520">
        <f t="shared" si="10"/>
        <v>0</v>
      </c>
      <c r="H59" s="540">
        <f t="shared" si="11"/>
        <v>0</v>
      </c>
      <c r="I59" s="819"/>
    </row>
    <row r="60" spans="1:9" ht="19.5" customHeight="1" x14ac:dyDescent="0.3">
      <c r="A60" s="64"/>
      <c r="B60" s="1323" t="s">
        <v>187</v>
      </c>
      <c r="C60" s="149" t="s">
        <v>19</v>
      </c>
      <c r="D60" s="77">
        <v>1128000</v>
      </c>
      <c r="E60" s="35">
        <v>350000</v>
      </c>
      <c r="F60" s="35">
        <v>1128000</v>
      </c>
      <c r="G60" s="43">
        <f t="shared" si="10"/>
        <v>0</v>
      </c>
      <c r="H60" s="453">
        <f t="shared" si="11"/>
        <v>0</v>
      </c>
      <c r="I60" s="816"/>
    </row>
    <row r="61" spans="1:9" ht="21" customHeight="1" x14ac:dyDescent="0.3">
      <c r="A61" s="64"/>
      <c r="B61" s="1289"/>
      <c r="C61" s="219" t="s">
        <v>182</v>
      </c>
      <c r="D61" s="608"/>
      <c r="E61" s="608"/>
      <c r="F61" s="608"/>
      <c r="G61" s="35"/>
      <c r="H61" s="130"/>
      <c r="I61" s="37"/>
    </row>
    <row r="62" spans="1:9" ht="25.5" customHeight="1" x14ac:dyDescent="0.3">
      <c r="A62" s="64"/>
      <c r="B62" s="1289"/>
      <c r="C62" s="150" t="s">
        <v>20</v>
      </c>
      <c r="D62" s="608"/>
      <c r="E62" s="608"/>
      <c r="F62" s="608"/>
      <c r="G62" s="35"/>
      <c r="H62" s="130"/>
      <c r="I62" s="37"/>
    </row>
    <row r="63" spans="1:9" ht="17.25" thickBot="1" x14ac:dyDescent="0.35">
      <c r="A63" s="64"/>
      <c r="B63" s="1324"/>
      <c r="C63" s="1109" t="s">
        <v>483</v>
      </c>
      <c r="D63" s="539">
        <f>SUM(D60:D62)</f>
        <v>1128000</v>
      </c>
      <c r="E63" s="539">
        <f t="shared" ref="E63:F63" si="13">SUM(E60:E62)</f>
        <v>350000</v>
      </c>
      <c r="F63" s="539">
        <f t="shared" si="13"/>
        <v>1128000</v>
      </c>
      <c r="G63" s="926">
        <f t="shared" si="10"/>
        <v>0</v>
      </c>
      <c r="H63" s="233">
        <f t="shared" si="11"/>
        <v>0</v>
      </c>
      <c r="I63" s="41"/>
    </row>
    <row r="64" spans="1:9" ht="33" x14ac:dyDescent="0.3">
      <c r="A64" s="64"/>
      <c r="B64" s="1323" t="s">
        <v>188</v>
      </c>
      <c r="C64" s="536" t="s">
        <v>21</v>
      </c>
      <c r="D64" s="155">
        <v>1000000</v>
      </c>
      <c r="E64" s="543">
        <v>1767100</v>
      </c>
      <c r="F64" s="43">
        <v>1850000</v>
      </c>
      <c r="G64" s="155">
        <f t="shared" si="10"/>
        <v>850000</v>
      </c>
      <c r="H64" s="453">
        <f t="shared" si="11"/>
        <v>0.85</v>
      </c>
      <c r="I64" s="1138" t="s">
        <v>595</v>
      </c>
    </row>
    <row r="65" spans="1:9" ht="17.25" customHeight="1" x14ac:dyDescent="0.3">
      <c r="A65" s="64"/>
      <c r="B65" s="1289"/>
      <c r="C65" s="150" t="s">
        <v>34</v>
      </c>
      <c r="D65" s="206">
        <v>13750000</v>
      </c>
      <c r="E65" s="132">
        <v>9392767</v>
      </c>
      <c r="F65" s="77">
        <v>13300000</v>
      </c>
      <c r="G65" s="35">
        <f t="shared" si="10"/>
        <v>-450000</v>
      </c>
      <c r="H65" s="130">
        <f t="shared" si="11"/>
        <v>-3.272727272727273E-2</v>
      </c>
      <c r="I65" s="818"/>
    </row>
    <row r="66" spans="1:9" ht="38.450000000000003" customHeight="1" x14ac:dyDescent="0.3">
      <c r="A66" s="64"/>
      <c r="B66" s="1289"/>
      <c r="C66" s="150" t="s">
        <v>23</v>
      </c>
      <c r="D66" s="206">
        <v>7830000</v>
      </c>
      <c r="E66" s="44">
        <v>7314120</v>
      </c>
      <c r="F66" s="77">
        <v>8052000</v>
      </c>
      <c r="G66" s="36">
        <f t="shared" si="10"/>
        <v>222000</v>
      </c>
      <c r="H66" s="130">
        <f t="shared" si="11"/>
        <v>2.8352490421455937E-2</v>
      </c>
      <c r="I66" s="1061" t="s">
        <v>493</v>
      </c>
    </row>
    <row r="67" spans="1:9" ht="17.25" customHeight="1" x14ac:dyDescent="0.3">
      <c r="A67" s="64"/>
      <c r="B67" s="1289"/>
      <c r="C67" s="150" t="s">
        <v>24</v>
      </c>
      <c r="D67" s="206">
        <v>2650000</v>
      </c>
      <c r="E67" s="44">
        <v>1043740</v>
      </c>
      <c r="F67" s="77">
        <v>2650000</v>
      </c>
      <c r="G67" s="36">
        <f t="shared" si="10"/>
        <v>0</v>
      </c>
      <c r="H67" s="130">
        <f t="shared" si="11"/>
        <v>0</v>
      </c>
      <c r="I67" s="818"/>
    </row>
    <row r="68" spans="1:9" x14ac:dyDescent="0.3">
      <c r="A68" s="99"/>
      <c r="B68" s="1289"/>
      <c r="C68" s="150" t="s">
        <v>35</v>
      </c>
      <c r="D68" s="207">
        <v>800000</v>
      </c>
      <c r="E68" s="132">
        <v>573770</v>
      </c>
      <c r="F68" s="156">
        <v>800000</v>
      </c>
      <c r="G68" s="133">
        <f t="shared" si="10"/>
        <v>0</v>
      </c>
      <c r="H68" s="130">
        <f t="shared" si="11"/>
        <v>0</v>
      </c>
      <c r="I68" s="817"/>
    </row>
    <row r="69" spans="1:9" x14ac:dyDescent="0.3">
      <c r="A69" s="99"/>
      <c r="B69" s="1289"/>
      <c r="C69" s="1072" t="s">
        <v>712</v>
      </c>
      <c r="D69" s="597"/>
      <c r="E69" s="597"/>
      <c r="F69" s="597"/>
      <c r="G69" s="884"/>
      <c r="H69" s="130"/>
      <c r="I69" s="813"/>
    </row>
    <row r="70" spans="1:9" ht="16.5" customHeight="1" x14ac:dyDescent="0.3">
      <c r="A70" s="99"/>
      <c r="B70" s="1289"/>
      <c r="C70" s="943" t="s">
        <v>36</v>
      </c>
      <c r="D70" s="597">
        <v>3260000</v>
      </c>
      <c r="E70" s="597">
        <v>2726000</v>
      </c>
      <c r="F70" s="597">
        <v>3038000</v>
      </c>
      <c r="G70" s="44">
        <f t="shared" si="10"/>
        <v>-222000</v>
      </c>
      <c r="H70" s="130">
        <f t="shared" si="11"/>
        <v>-6.8098159509202449E-2</v>
      </c>
      <c r="I70" s="813" t="s">
        <v>494</v>
      </c>
    </row>
    <row r="71" spans="1:9" ht="17.25" thickBot="1" x14ac:dyDescent="0.35">
      <c r="A71" s="99"/>
      <c r="B71" s="1324"/>
      <c r="C71" s="1109" t="s">
        <v>483</v>
      </c>
      <c r="D71" s="580">
        <f>SUM(D64:D70)</f>
        <v>29290000</v>
      </c>
      <c r="E71" s="580">
        <f t="shared" ref="E71:F71" si="14">SUM(E64:E70)</f>
        <v>22817497</v>
      </c>
      <c r="F71" s="580">
        <f t="shared" si="14"/>
        <v>29690000</v>
      </c>
      <c r="G71" s="605">
        <f t="shared" si="10"/>
        <v>400000</v>
      </c>
      <c r="H71" s="540">
        <f t="shared" si="11"/>
        <v>1.3656538067599864E-2</v>
      </c>
      <c r="I71" s="1139"/>
    </row>
    <row r="72" spans="1:9" ht="17.25" thickBot="1" x14ac:dyDescent="0.35">
      <c r="A72" s="137" t="s">
        <v>123</v>
      </c>
      <c r="B72" s="1321" t="s">
        <v>675</v>
      </c>
      <c r="C72" s="1322"/>
      <c r="D72" s="576">
        <f>SUM(D59,D63,D71)</f>
        <v>274391000</v>
      </c>
      <c r="E72" s="520">
        <f>SUM(E59,E63,E71)</f>
        <v>243074807</v>
      </c>
      <c r="F72" s="576">
        <f>SUM(F59,F63,F71)</f>
        <v>274791000</v>
      </c>
      <c r="G72" s="605">
        <f t="shared" si="10"/>
        <v>400000</v>
      </c>
      <c r="H72" s="540">
        <f t="shared" si="11"/>
        <v>1.4577737608011925E-3</v>
      </c>
      <c r="I72" s="41"/>
    </row>
    <row r="73" spans="1:9" ht="47.45" customHeight="1" x14ac:dyDescent="0.3">
      <c r="A73" s="1325" t="s">
        <v>189</v>
      </c>
      <c r="B73" s="1288" t="s">
        <v>190</v>
      </c>
      <c r="C73" s="151" t="s">
        <v>11</v>
      </c>
      <c r="D73" s="566">
        <v>6120000</v>
      </c>
      <c r="E73" s="221">
        <v>1668300</v>
      </c>
      <c r="F73" s="541">
        <v>3999200</v>
      </c>
      <c r="G73" s="43">
        <f t="shared" si="10"/>
        <v>-2120800</v>
      </c>
      <c r="H73" s="925">
        <f>G73/D73*100%</f>
        <v>-0.3465359477124183</v>
      </c>
      <c r="I73" s="1061" t="s">
        <v>596</v>
      </c>
    </row>
    <row r="74" spans="1:9" ht="21.6" customHeight="1" x14ac:dyDescent="0.3">
      <c r="A74" s="1325"/>
      <c r="B74" s="1288"/>
      <c r="C74" s="480" t="s">
        <v>342</v>
      </c>
      <c r="D74" s="209"/>
      <c r="E74" s="44"/>
      <c r="F74" s="77"/>
      <c r="G74" s="35"/>
      <c r="H74" s="167"/>
      <c r="I74" s="818"/>
    </row>
    <row r="75" spans="1:9" ht="34.9" customHeight="1" x14ac:dyDescent="0.3">
      <c r="A75" s="1326"/>
      <c r="B75" s="1289"/>
      <c r="C75" s="146" t="s">
        <v>37</v>
      </c>
      <c r="D75" s="209">
        <v>9543996</v>
      </c>
      <c r="E75" s="44">
        <v>8592600</v>
      </c>
      <c r="F75" s="77">
        <v>9263094</v>
      </c>
      <c r="G75" s="35">
        <f t="shared" ref="G75" si="15">F75-D75</f>
        <v>-280902</v>
      </c>
      <c r="H75" s="167">
        <f>G75/D75*100%</f>
        <v>-2.9432325830815519E-2</v>
      </c>
      <c r="I75" s="1061" t="s">
        <v>495</v>
      </c>
    </row>
    <row r="76" spans="1:9" ht="17.25" thickBot="1" x14ac:dyDescent="0.35">
      <c r="A76" s="1327"/>
      <c r="B76" s="1300" t="s">
        <v>466</v>
      </c>
      <c r="C76" s="1301"/>
      <c r="D76" s="569">
        <f>SUM(D73:D75)</f>
        <v>15663996</v>
      </c>
      <c r="E76" s="569">
        <f t="shared" ref="E76:F76" si="16">SUM(E73:E75)</f>
        <v>10260900</v>
      </c>
      <c r="F76" s="569">
        <f t="shared" si="16"/>
        <v>13262294</v>
      </c>
      <c r="G76" s="605">
        <f t="shared" si="10"/>
        <v>-2401702</v>
      </c>
      <c r="H76" s="572">
        <f t="shared" si="11"/>
        <v>-0.15332626489434753</v>
      </c>
      <c r="I76" s="820"/>
    </row>
    <row r="77" spans="1:9" x14ac:dyDescent="0.3">
      <c r="A77" s="1302" t="s">
        <v>197</v>
      </c>
      <c r="B77" s="1305" t="s">
        <v>131</v>
      </c>
      <c r="C77" s="585" t="s">
        <v>132</v>
      </c>
      <c r="D77" s="221">
        <v>35318000</v>
      </c>
      <c r="E77" s="221">
        <v>16251620</v>
      </c>
      <c r="F77" s="221">
        <v>22393000</v>
      </c>
      <c r="G77" s="221">
        <f t="shared" si="10"/>
        <v>-12925000</v>
      </c>
      <c r="H77" s="222">
        <f>G77/D77*100%</f>
        <v>-0.36596069992638314</v>
      </c>
      <c r="I77" s="815" t="s">
        <v>496</v>
      </c>
    </row>
    <row r="78" spans="1:9" ht="33" x14ac:dyDescent="0.3">
      <c r="A78" s="1303"/>
      <c r="B78" s="1306"/>
      <c r="C78" s="762" t="s">
        <v>133</v>
      </c>
      <c r="D78" s="221">
        <v>2480000</v>
      </c>
      <c r="E78" s="221">
        <v>1520970</v>
      </c>
      <c r="F78" s="221">
        <v>3305000</v>
      </c>
      <c r="G78" s="44">
        <f t="shared" si="10"/>
        <v>825000</v>
      </c>
      <c r="H78" s="218">
        <f>G78/D78*100%</f>
        <v>0.33266129032258063</v>
      </c>
      <c r="I78" s="1129" t="s">
        <v>497</v>
      </c>
    </row>
    <row r="79" spans="1:9" x14ac:dyDescent="0.3">
      <c r="A79" s="1303"/>
      <c r="B79" s="1306"/>
      <c r="C79" s="762" t="s">
        <v>194</v>
      </c>
      <c r="D79" s="221">
        <v>550000</v>
      </c>
      <c r="E79" s="885">
        <v>0</v>
      </c>
      <c r="F79" s="885">
        <v>550000</v>
      </c>
      <c r="G79" s="884">
        <f t="shared" si="10"/>
        <v>0</v>
      </c>
      <c r="H79" s="218">
        <f t="shared" ref="H79:H81" si="17">G79/D79*100</f>
        <v>0</v>
      </c>
      <c r="I79" s="815"/>
    </row>
    <row r="80" spans="1:9" x14ac:dyDescent="0.3">
      <c r="A80" s="1303"/>
      <c r="B80" s="1306"/>
      <c r="C80" s="230" t="s">
        <v>134</v>
      </c>
      <c r="D80" s="44">
        <v>1000000</v>
      </c>
      <c r="E80" s="44">
        <v>175000</v>
      </c>
      <c r="F80" s="44">
        <v>175000</v>
      </c>
      <c r="G80" s="44">
        <f t="shared" si="10"/>
        <v>-825000</v>
      </c>
      <c r="H80" s="218">
        <f>G80/D80*100%</f>
        <v>-0.82499999999999996</v>
      </c>
      <c r="I80" s="813" t="s">
        <v>498</v>
      </c>
    </row>
    <row r="81" spans="1:9" x14ac:dyDescent="0.3">
      <c r="A81" s="1303"/>
      <c r="B81" s="1306"/>
      <c r="C81" s="230" t="s">
        <v>195</v>
      </c>
      <c r="D81" s="44">
        <v>300000</v>
      </c>
      <c r="E81" s="44">
        <v>241000</v>
      </c>
      <c r="F81" s="884">
        <v>300000</v>
      </c>
      <c r="G81" s="884">
        <f t="shared" si="10"/>
        <v>0</v>
      </c>
      <c r="H81" s="218">
        <f t="shared" si="17"/>
        <v>0</v>
      </c>
      <c r="I81" s="813"/>
    </row>
    <row r="82" spans="1:9" ht="17.25" thickBot="1" x14ac:dyDescent="0.35">
      <c r="A82" s="1303"/>
      <c r="B82" s="1307"/>
      <c r="C82" s="1109" t="s">
        <v>483</v>
      </c>
      <c r="D82" s="519">
        <f>SUM(D77:D81)</f>
        <v>39648000</v>
      </c>
      <c r="E82" s="519">
        <f t="shared" ref="E82:F82" si="18">SUM(E77:E81)</f>
        <v>18188590</v>
      </c>
      <c r="F82" s="519">
        <f t="shared" si="18"/>
        <v>26723000</v>
      </c>
      <c r="G82" s="743">
        <f t="shared" si="10"/>
        <v>-12925000</v>
      </c>
      <c r="H82" s="540">
        <f t="shared" si="11"/>
        <v>-0.32599374495560934</v>
      </c>
      <c r="I82" s="1059"/>
    </row>
    <row r="83" spans="1:9" ht="15.75" customHeight="1" x14ac:dyDescent="0.3">
      <c r="A83" s="1303"/>
      <c r="B83" s="1308" t="s">
        <v>197</v>
      </c>
      <c r="C83" s="149" t="s">
        <v>164</v>
      </c>
      <c r="D83" s="70"/>
      <c r="E83" s="70"/>
      <c r="F83" s="70"/>
      <c r="G83" s="71">
        <f t="shared" si="10"/>
        <v>0</v>
      </c>
      <c r="H83" s="453"/>
      <c r="I83" s="79"/>
    </row>
    <row r="84" spans="1:9" ht="15.75" customHeight="1" x14ac:dyDescent="0.3">
      <c r="A84" s="1303"/>
      <c r="B84" s="1309"/>
      <c r="C84" s="943" t="s">
        <v>191</v>
      </c>
      <c r="D84" s="44"/>
      <c r="E84" s="44"/>
      <c r="F84" s="44"/>
      <c r="G84" s="884">
        <f t="shared" si="10"/>
        <v>0</v>
      </c>
      <c r="H84" s="130"/>
      <c r="I84" s="83"/>
    </row>
    <row r="85" spans="1:9" ht="15.75" customHeight="1" x14ac:dyDescent="0.3">
      <c r="A85" s="1303"/>
      <c r="B85" s="1309"/>
      <c r="C85" s="943" t="s">
        <v>192</v>
      </c>
      <c r="D85" s="44"/>
      <c r="E85" s="44"/>
      <c r="F85" s="44"/>
      <c r="G85" s="884">
        <f t="shared" si="10"/>
        <v>0</v>
      </c>
      <c r="H85" s="130"/>
      <c r="I85" s="83"/>
    </row>
    <row r="86" spans="1:9" ht="15.75" customHeight="1" x14ac:dyDescent="0.3">
      <c r="A86" s="1303"/>
      <c r="B86" s="1309"/>
      <c r="C86" s="943" t="s">
        <v>140</v>
      </c>
      <c r="D86" s="44"/>
      <c r="E86" s="44"/>
      <c r="F86" s="44"/>
      <c r="G86" s="884">
        <f t="shared" si="10"/>
        <v>0</v>
      </c>
      <c r="H86" s="130"/>
      <c r="I86" s="83"/>
    </row>
    <row r="87" spans="1:9" ht="15.75" customHeight="1" x14ac:dyDescent="0.3">
      <c r="A87" s="1303"/>
      <c r="B87" s="1309"/>
      <c r="C87" s="943" t="s">
        <v>137</v>
      </c>
      <c r="D87" s="44"/>
      <c r="E87" s="44"/>
      <c r="F87" s="44"/>
      <c r="G87" s="884">
        <f t="shared" si="10"/>
        <v>0</v>
      </c>
      <c r="H87" s="130"/>
      <c r="I87" s="83"/>
    </row>
    <row r="88" spans="1:9" ht="15.75" customHeight="1" x14ac:dyDescent="0.3">
      <c r="A88" s="1303"/>
      <c r="B88" s="1309"/>
      <c r="C88" s="943" t="s">
        <v>141</v>
      </c>
      <c r="D88" s="44"/>
      <c r="E88" s="44"/>
      <c r="F88" s="44"/>
      <c r="G88" s="884">
        <f t="shared" si="10"/>
        <v>0</v>
      </c>
      <c r="H88" s="130"/>
      <c r="I88" s="83"/>
    </row>
    <row r="89" spans="1:9" ht="15.75" customHeight="1" x14ac:dyDescent="0.3">
      <c r="A89" s="1303"/>
      <c r="B89" s="1309"/>
      <c r="C89" s="943" t="s">
        <v>138</v>
      </c>
      <c r="D89" s="44"/>
      <c r="E89" s="44"/>
      <c r="F89" s="44"/>
      <c r="G89" s="884">
        <f t="shared" si="10"/>
        <v>0</v>
      </c>
      <c r="H89" s="130"/>
      <c r="I89" s="83"/>
    </row>
    <row r="90" spans="1:9" ht="15.75" customHeight="1" x14ac:dyDescent="0.3">
      <c r="A90" s="1303"/>
      <c r="B90" s="1309"/>
      <c r="C90" s="943" t="s">
        <v>139</v>
      </c>
      <c r="D90" s="44"/>
      <c r="E90" s="44"/>
      <c r="F90" s="44"/>
      <c r="G90" s="884">
        <f t="shared" si="10"/>
        <v>0</v>
      </c>
      <c r="H90" s="130"/>
      <c r="I90" s="83"/>
    </row>
    <row r="91" spans="1:9" ht="15.75" customHeight="1" x14ac:dyDescent="0.3">
      <c r="A91" s="1303"/>
      <c r="B91" s="1309"/>
      <c r="C91" s="943" t="s">
        <v>136</v>
      </c>
      <c r="D91" s="44"/>
      <c r="E91" s="44"/>
      <c r="F91" s="44"/>
      <c r="G91" s="884">
        <f t="shared" si="10"/>
        <v>0</v>
      </c>
      <c r="H91" s="130"/>
      <c r="I91" s="83"/>
    </row>
    <row r="92" spans="1:9" ht="15.75" customHeight="1" x14ac:dyDescent="0.3">
      <c r="A92" s="1303"/>
      <c r="B92" s="1309"/>
      <c r="C92" s="943" t="s">
        <v>135</v>
      </c>
      <c r="D92" s="44">
        <v>6000000</v>
      </c>
      <c r="E92" s="884">
        <v>0</v>
      </c>
      <c r="F92" s="884">
        <v>0</v>
      </c>
      <c r="G92" s="44">
        <f t="shared" si="10"/>
        <v>-6000000</v>
      </c>
      <c r="H92" s="218">
        <f>G92/D92*100%</f>
        <v>-1</v>
      </c>
      <c r="I92" s="813" t="s">
        <v>499</v>
      </c>
    </row>
    <row r="93" spans="1:9" ht="15.75" customHeight="1" x14ac:dyDescent="0.3">
      <c r="A93" s="1303"/>
      <c r="B93" s="1309"/>
      <c r="C93" s="943" t="s">
        <v>193</v>
      </c>
      <c r="D93" s="44"/>
      <c r="E93" s="44"/>
      <c r="F93" s="44"/>
      <c r="G93" s="884">
        <f t="shared" si="10"/>
        <v>0</v>
      </c>
      <c r="H93" s="130"/>
      <c r="I93" s="83"/>
    </row>
    <row r="94" spans="1:9" ht="15.75" customHeight="1" x14ac:dyDescent="0.3">
      <c r="A94" s="1303"/>
      <c r="B94" s="1309"/>
      <c r="C94" s="943" t="s">
        <v>239</v>
      </c>
      <c r="D94" s="44"/>
      <c r="E94" s="44"/>
      <c r="F94" s="44"/>
      <c r="G94" s="884">
        <f t="shared" si="10"/>
        <v>0</v>
      </c>
      <c r="H94" s="130"/>
      <c r="I94" s="83"/>
    </row>
    <row r="95" spans="1:9" ht="15.75" customHeight="1" x14ac:dyDescent="0.3">
      <c r="A95" s="1303"/>
      <c r="B95" s="1309"/>
      <c r="C95" s="943" t="s">
        <v>240</v>
      </c>
      <c r="D95" s="44"/>
      <c r="E95" s="44"/>
      <c r="F95" s="44"/>
      <c r="G95" s="884">
        <f t="shared" si="10"/>
        <v>0</v>
      </c>
      <c r="H95" s="130"/>
      <c r="I95" s="83"/>
    </row>
    <row r="96" spans="1:9" ht="15.75" customHeight="1" x14ac:dyDescent="0.3">
      <c r="A96" s="1303"/>
      <c r="B96" s="1309"/>
      <c r="C96" s="943" t="s">
        <v>241</v>
      </c>
      <c r="D96" s="44"/>
      <c r="E96" s="44"/>
      <c r="F96" s="44"/>
      <c r="G96" s="884">
        <f t="shared" si="10"/>
        <v>0</v>
      </c>
      <c r="H96" s="130"/>
      <c r="I96" s="83"/>
    </row>
    <row r="97" spans="1:9" ht="15.75" customHeight="1" x14ac:dyDescent="0.3">
      <c r="A97" s="1303"/>
      <c r="B97" s="1309"/>
      <c r="C97" s="943" t="s">
        <v>242</v>
      </c>
      <c r="D97" s="44"/>
      <c r="E97" s="44"/>
      <c r="F97" s="44"/>
      <c r="G97" s="884">
        <f t="shared" si="10"/>
        <v>0</v>
      </c>
      <c r="H97" s="130"/>
      <c r="I97" s="83"/>
    </row>
    <row r="98" spans="1:9" ht="15.75" customHeight="1" x14ac:dyDescent="0.3">
      <c r="A98" s="1303"/>
      <c r="B98" s="1309"/>
      <c r="C98" s="943" t="s">
        <v>243</v>
      </c>
      <c r="D98" s="44"/>
      <c r="E98" s="44"/>
      <c r="F98" s="44"/>
      <c r="G98" s="884">
        <f t="shared" si="10"/>
        <v>0</v>
      </c>
      <c r="H98" s="130"/>
      <c r="I98" s="83"/>
    </row>
    <row r="99" spans="1:9" ht="15.75" customHeight="1" x14ac:dyDescent="0.3">
      <c r="A99" s="1303"/>
      <c r="B99" s="1309"/>
      <c r="C99" s="943" t="s">
        <v>244</v>
      </c>
      <c r="D99" s="44"/>
      <c r="E99" s="44"/>
      <c r="F99" s="44"/>
      <c r="G99" s="884">
        <f t="shared" si="10"/>
        <v>0</v>
      </c>
      <c r="H99" s="130"/>
      <c r="I99" s="83"/>
    </row>
    <row r="100" spans="1:9" ht="15.75" customHeight="1" x14ac:dyDescent="0.3">
      <c r="A100" s="1303"/>
      <c r="B100" s="1309"/>
      <c r="C100" s="943" t="s">
        <v>245</v>
      </c>
      <c r="D100" s="44"/>
      <c r="E100" s="44"/>
      <c r="F100" s="44"/>
      <c r="G100" s="884">
        <f t="shared" si="10"/>
        <v>0</v>
      </c>
      <c r="H100" s="130"/>
      <c r="I100" s="83"/>
    </row>
    <row r="101" spans="1:9" ht="39.6" customHeight="1" x14ac:dyDescent="0.3">
      <c r="A101" s="1303"/>
      <c r="B101" s="1309"/>
      <c r="C101" s="943" t="s">
        <v>232</v>
      </c>
      <c r="D101" s="44">
        <v>9605000</v>
      </c>
      <c r="E101" s="884">
        <v>1915420</v>
      </c>
      <c r="F101" s="44">
        <v>5497000</v>
      </c>
      <c r="G101" s="44">
        <f t="shared" si="10"/>
        <v>-4108000</v>
      </c>
      <c r="H101" s="218">
        <f>G101/D101*100%</f>
        <v>-0.42769390942217594</v>
      </c>
      <c r="I101" s="1060" t="s">
        <v>500</v>
      </c>
    </row>
    <row r="102" spans="1:9" ht="36" customHeight="1" x14ac:dyDescent="0.3">
      <c r="A102" s="1303"/>
      <c r="B102" s="1309"/>
      <c r="C102" s="943" t="s">
        <v>233</v>
      </c>
      <c r="D102" s="44">
        <v>26600000</v>
      </c>
      <c r="E102" s="884">
        <v>26917640</v>
      </c>
      <c r="F102" s="44">
        <v>36708000</v>
      </c>
      <c r="G102" s="44">
        <f t="shared" si="10"/>
        <v>10108000</v>
      </c>
      <c r="H102" s="218">
        <f>G102/D102*100%</f>
        <v>0.38</v>
      </c>
      <c r="I102" s="1060" t="s">
        <v>502</v>
      </c>
    </row>
    <row r="103" spans="1:9" ht="37.9" customHeight="1" x14ac:dyDescent="0.3">
      <c r="A103" s="1303"/>
      <c r="B103" s="1309"/>
      <c r="C103" s="943" t="s">
        <v>234</v>
      </c>
      <c r="D103" s="44">
        <v>3000000</v>
      </c>
      <c r="E103" s="884">
        <v>0</v>
      </c>
      <c r="F103" s="884">
        <v>0</v>
      </c>
      <c r="G103" s="44">
        <f t="shared" si="10"/>
        <v>-3000000</v>
      </c>
      <c r="H103" s="218">
        <f>G103/D103*100%</f>
        <v>-1</v>
      </c>
      <c r="I103" s="1060" t="s">
        <v>501</v>
      </c>
    </row>
    <row r="104" spans="1:9" ht="39" customHeight="1" x14ac:dyDescent="0.3">
      <c r="A104" s="1303"/>
      <c r="B104" s="1309"/>
      <c r="C104" s="943" t="s">
        <v>235</v>
      </c>
      <c r="D104" s="44">
        <v>7995000</v>
      </c>
      <c r="E104" s="884">
        <v>5188100</v>
      </c>
      <c r="F104" s="44">
        <v>10995000</v>
      </c>
      <c r="G104" s="44">
        <f t="shared" si="10"/>
        <v>3000000</v>
      </c>
      <c r="H104" s="218">
        <f>G104/D104*100%</f>
        <v>0.37523452157598497</v>
      </c>
      <c r="I104" s="1060" t="s">
        <v>503</v>
      </c>
    </row>
    <row r="105" spans="1:9" ht="17.25" thickBot="1" x14ac:dyDescent="0.35">
      <c r="A105" s="1303"/>
      <c r="B105" s="1310"/>
      <c r="C105" s="1167" t="s">
        <v>483</v>
      </c>
      <c r="D105" s="887">
        <f>SUM(D83:D104)</f>
        <v>53200000</v>
      </c>
      <c r="E105" s="887">
        <f>SUM(E83:E104)</f>
        <v>34021160</v>
      </c>
      <c r="F105" s="887">
        <f>SUM(F83:F104)</f>
        <v>53200000</v>
      </c>
      <c r="G105" s="887">
        <f t="shared" si="10"/>
        <v>0</v>
      </c>
      <c r="H105" s="540">
        <f t="shared" si="11"/>
        <v>0</v>
      </c>
      <c r="I105" s="81"/>
    </row>
    <row r="106" spans="1:9" ht="17.25" thickBot="1" x14ac:dyDescent="0.35">
      <c r="A106" s="1304"/>
      <c r="B106" s="1311" t="s">
        <v>466</v>
      </c>
      <c r="C106" s="1311"/>
      <c r="D106" s="629">
        <f>SUM(D82,D105)</f>
        <v>92848000</v>
      </c>
      <c r="E106" s="629">
        <f>SUM(E82,E105)</f>
        <v>52209750</v>
      </c>
      <c r="F106" s="629">
        <f>SUM(F82,F105)</f>
        <v>79923000</v>
      </c>
      <c r="G106" s="605">
        <f t="shared" si="10"/>
        <v>-12925000</v>
      </c>
      <c r="H106" s="707">
        <f t="shared" si="11"/>
        <v>-0.13920601413062209</v>
      </c>
      <c r="I106" s="573"/>
    </row>
    <row r="107" spans="1:9" x14ac:dyDescent="0.3">
      <c r="A107" s="1303" t="s">
        <v>5</v>
      </c>
      <c r="B107" s="360" t="s">
        <v>5</v>
      </c>
      <c r="C107" s="219" t="s">
        <v>8</v>
      </c>
      <c r="D107" s="216"/>
      <c r="E107" s="69"/>
      <c r="F107" s="77"/>
      <c r="G107" s="36">
        <f t="shared" si="10"/>
        <v>0</v>
      </c>
      <c r="H107" s="130"/>
      <c r="I107" s="37"/>
    </row>
    <row r="108" spans="1:9" ht="17.25" thickBot="1" x14ac:dyDescent="0.35">
      <c r="A108" s="1304"/>
      <c r="B108" s="1312" t="s">
        <v>465</v>
      </c>
      <c r="C108" s="1313"/>
      <c r="D108" s="210">
        <f>D107</f>
        <v>0</v>
      </c>
      <c r="E108" s="210">
        <f t="shared" ref="E108:F108" si="19">E107</f>
        <v>0</v>
      </c>
      <c r="F108" s="210">
        <f t="shared" si="19"/>
        <v>0</v>
      </c>
      <c r="G108" s="158">
        <f t="shared" si="10"/>
        <v>0</v>
      </c>
      <c r="H108" s="238"/>
      <c r="I108" s="42"/>
    </row>
    <row r="109" spans="1:9" x14ac:dyDescent="0.3">
      <c r="A109" s="1286" t="s">
        <v>271</v>
      </c>
      <c r="B109" s="1288" t="s">
        <v>271</v>
      </c>
      <c r="C109" s="151" t="s">
        <v>65</v>
      </c>
      <c r="D109" s="211"/>
      <c r="E109" s="69"/>
      <c r="F109" s="214"/>
      <c r="G109" s="157">
        <f t="shared" si="10"/>
        <v>0</v>
      </c>
      <c r="H109" s="130"/>
      <c r="I109" s="39"/>
    </row>
    <row r="110" spans="1:9" ht="33" x14ac:dyDescent="0.3">
      <c r="A110" s="1286"/>
      <c r="B110" s="1289"/>
      <c r="C110" s="146" t="s">
        <v>38</v>
      </c>
      <c r="D110" s="212">
        <v>23666646</v>
      </c>
      <c r="E110" s="44">
        <v>23658646</v>
      </c>
      <c r="F110" s="77">
        <v>23666646</v>
      </c>
      <c r="G110" s="36">
        <f t="shared" si="10"/>
        <v>0</v>
      </c>
      <c r="H110" s="130">
        <f>G110/D110*100%</f>
        <v>0</v>
      </c>
      <c r="I110" s="1061" t="s">
        <v>504</v>
      </c>
    </row>
    <row r="111" spans="1:9" ht="17.25" thickBot="1" x14ac:dyDescent="0.35">
      <c r="A111" s="1461"/>
      <c r="B111" s="1321" t="s">
        <v>465</v>
      </c>
      <c r="C111" s="1322"/>
      <c r="D111" s="889">
        <f>SUM(D109:D110)</f>
        <v>23666646</v>
      </c>
      <c r="E111" s="889">
        <f t="shared" ref="E111:F111" si="20">SUM(E109:E110)</f>
        <v>23658646</v>
      </c>
      <c r="F111" s="889">
        <f t="shared" si="20"/>
        <v>23666646</v>
      </c>
      <c r="G111" s="587">
        <f t="shared" si="10"/>
        <v>0</v>
      </c>
      <c r="H111" s="654">
        <f t="shared" si="11"/>
        <v>0</v>
      </c>
      <c r="I111" s="42"/>
    </row>
    <row r="112" spans="1:9" x14ac:dyDescent="0.3">
      <c r="A112" s="1316" t="s">
        <v>176</v>
      </c>
      <c r="B112" s="1319" t="s">
        <v>362</v>
      </c>
      <c r="C112" s="149" t="s">
        <v>391</v>
      </c>
      <c r="D112" s="680"/>
      <c r="E112" s="680"/>
      <c r="F112" s="691"/>
      <c r="G112" s="155"/>
      <c r="H112" s="822"/>
      <c r="I112" s="692"/>
    </row>
    <row r="113" spans="1:9" x14ac:dyDescent="0.3">
      <c r="A113" s="1317"/>
      <c r="B113" s="1320"/>
      <c r="C113" s="624" t="s">
        <v>363</v>
      </c>
      <c r="D113" s="677"/>
      <c r="E113" s="677"/>
      <c r="F113" s="677"/>
      <c r="G113" s="36"/>
      <c r="H113" s="823"/>
      <c r="I113" s="693"/>
    </row>
    <row r="114" spans="1:9" ht="17.25" thickBot="1" x14ac:dyDescent="0.35">
      <c r="A114" s="1318"/>
      <c r="B114" s="1321" t="s">
        <v>466</v>
      </c>
      <c r="C114" s="1322"/>
      <c r="D114" s="576"/>
      <c r="E114" s="576"/>
      <c r="F114" s="576"/>
      <c r="G114" s="520"/>
      <c r="H114" s="824"/>
      <c r="I114" s="42"/>
    </row>
    <row r="115" spans="1:9" x14ac:dyDescent="0.3">
      <c r="A115" s="1317" t="s">
        <v>392</v>
      </c>
      <c r="B115" s="1529" t="s">
        <v>377</v>
      </c>
      <c r="C115" s="623" t="s">
        <v>366</v>
      </c>
      <c r="D115" s="677"/>
      <c r="E115" s="677"/>
      <c r="F115" s="677"/>
      <c r="G115" s="36"/>
      <c r="H115" s="694"/>
      <c r="I115" s="76"/>
    </row>
    <row r="116" spans="1:9" x14ac:dyDescent="0.3">
      <c r="A116" s="1317"/>
      <c r="B116" s="1320"/>
      <c r="C116" s="624" t="s">
        <v>368</v>
      </c>
      <c r="D116" s="677"/>
      <c r="E116" s="677"/>
      <c r="F116" s="677"/>
      <c r="G116" s="459"/>
      <c r="H116" s="695"/>
      <c r="I116" s="693"/>
    </row>
    <row r="117" spans="1:9" ht="17.25" thickBot="1" x14ac:dyDescent="0.35">
      <c r="A117" s="1318"/>
      <c r="B117" s="1321" t="s">
        <v>465</v>
      </c>
      <c r="C117" s="1322"/>
      <c r="D117" s="576"/>
      <c r="E117" s="576"/>
      <c r="F117" s="576"/>
      <c r="G117" s="520"/>
      <c r="H117" s="696"/>
      <c r="I117" s="42"/>
    </row>
    <row r="118" spans="1:9" ht="17.25" thickBot="1" x14ac:dyDescent="0.35">
      <c r="A118" s="152" t="s">
        <v>393</v>
      </c>
      <c r="B118" s="153" t="s">
        <v>43</v>
      </c>
      <c r="C118" s="220" t="s">
        <v>68</v>
      </c>
      <c r="D118" s="213"/>
      <c r="E118" s="224">
        <v>59926739</v>
      </c>
      <c r="F118" s="215"/>
      <c r="G118" s="133">
        <f t="shared" ref="G118:G119" si="21">F118-D118</f>
        <v>0</v>
      </c>
      <c r="H118" s="707">
        <f t="shared" ref="H118:H119" si="22">IF(ISERR(G118/D118),0,G118/D118)</f>
        <v>0</v>
      </c>
      <c r="I118" s="138"/>
    </row>
    <row r="119" spans="1:9" ht="17.25" thickBot="1" x14ac:dyDescent="0.35">
      <c r="A119" s="1391" t="s">
        <v>676</v>
      </c>
      <c r="B119" s="1392"/>
      <c r="C119" s="1393"/>
      <c r="D119" s="302">
        <f>SUM(D72,D76,D106,D108,D111,D118,D117,D114)</f>
        <v>406569642</v>
      </c>
      <c r="E119" s="302">
        <f t="shared" ref="E119:F119" si="23">SUM(E72,E76,E106,E108,E111,E118,E117,E114)</f>
        <v>389130842</v>
      </c>
      <c r="F119" s="302">
        <f t="shared" si="23"/>
        <v>391642940</v>
      </c>
      <c r="G119" s="606">
        <f t="shared" si="21"/>
        <v>-14926702</v>
      </c>
      <c r="H119" s="523">
        <f t="shared" si="22"/>
        <v>-3.6713764280511631E-2</v>
      </c>
      <c r="I119" s="78"/>
    </row>
  </sheetData>
  <mergeCells count="69">
    <mergeCell ref="A115:A117"/>
    <mergeCell ref="B115:B116"/>
    <mergeCell ref="B117:C117"/>
    <mergeCell ref="A119:C119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41:A45"/>
    <mergeCell ref="B41:B44"/>
    <mergeCell ref="B45:C45"/>
    <mergeCell ref="A46:A48"/>
    <mergeCell ref="B46:B47"/>
    <mergeCell ref="B48:C48"/>
    <mergeCell ref="A49:C49"/>
    <mergeCell ref="A50:I50"/>
    <mergeCell ref="B108:C108"/>
    <mergeCell ref="H51:H52"/>
    <mergeCell ref="I51:I52"/>
    <mergeCell ref="B53:B59"/>
    <mergeCell ref="B60:B63"/>
    <mergeCell ref="B64:B71"/>
    <mergeCell ref="A51:C51"/>
    <mergeCell ref="D51:D52"/>
    <mergeCell ref="E51:E52"/>
    <mergeCell ref="F51:F52"/>
    <mergeCell ref="G51:G52"/>
    <mergeCell ref="A1:I1"/>
    <mergeCell ref="A112:A114"/>
    <mergeCell ref="B112:B113"/>
    <mergeCell ref="B114:C114"/>
    <mergeCell ref="B72:C72"/>
    <mergeCell ref="A73:A76"/>
    <mergeCell ref="B73:B75"/>
    <mergeCell ref="B76:C76"/>
    <mergeCell ref="A109:A111"/>
    <mergeCell ref="B109:B110"/>
    <mergeCell ref="B111:C111"/>
    <mergeCell ref="A77:A106"/>
    <mergeCell ref="B77:B82"/>
    <mergeCell ref="B83:B105"/>
    <mergeCell ref="B106:C106"/>
    <mergeCell ref="A107:A108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7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  <pageSetUpPr fitToPage="1"/>
  </sheetPr>
  <dimension ref="A1:K84"/>
  <sheetViews>
    <sheetView topLeftCell="A7" zoomScale="85" zoomScaleNormal="85" workbookViewId="0">
      <selection activeCell="A24" sqref="A24:I24"/>
    </sheetView>
  </sheetViews>
  <sheetFormatPr defaultRowHeight="16.5" x14ac:dyDescent="0.3"/>
  <cols>
    <col min="1" max="1" width="11.125" style="1" customWidth="1"/>
    <col min="2" max="2" width="17.5" customWidth="1"/>
    <col min="3" max="3" width="23.375" customWidth="1"/>
    <col min="4" max="4" width="16.625" customWidth="1"/>
    <col min="5" max="5" width="17" customWidth="1"/>
    <col min="6" max="6" width="20" customWidth="1"/>
    <col min="7" max="7" width="13.75" customWidth="1"/>
    <col min="8" max="8" width="8.75" style="58" customWidth="1"/>
    <col min="9" max="9" width="36.25" customWidth="1"/>
    <col min="10" max="10" width="13" bestFit="1" customWidth="1"/>
    <col min="11" max="11" width="11.875" bestFit="1" customWidth="1"/>
  </cols>
  <sheetData>
    <row r="1" spans="1:11" x14ac:dyDescent="0.3">
      <c r="A1" s="1434"/>
      <c r="B1" s="1434"/>
      <c r="C1" s="1434"/>
      <c r="D1" s="1434"/>
      <c r="E1" s="1434"/>
      <c r="F1" s="1434"/>
      <c r="G1" s="1434"/>
      <c r="H1" s="1434"/>
      <c r="I1" s="1434"/>
    </row>
    <row r="2" spans="1:11" ht="31.5" x14ac:dyDescent="0.3">
      <c r="A2" s="1358" t="s">
        <v>450</v>
      </c>
      <c r="B2" s="1358"/>
      <c r="C2" s="1358"/>
      <c r="D2" s="1358"/>
      <c r="E2" s="1358"/>
      <c r="F2" s="1358"/>
      <c r="G2" s="1358"/>
      <c r="H2" s="1358"/>
      <c r="I2" s="1358"/>
    </row>
    <row r="3" spans="1:11" ht="32.1" customHeight="1" x14ac:dyDescent="0.3">
      <c r="A3" s="1435" t="s">
        <v>723</v>
      </c>
      <c r="B3" s="1435"/>
      <c r="C3" s="1435"/>
      <c r="D3" s="1435"/>
      <c r="E3" s="1435"/>
      <c r="F3" s="1435"/>
      <c r="G3" s="1435"/>
      <c r="H3" s="1435"/>
      <c r="I3" s="1435"/>
    </row>
    <row r="4" spans="1:11" ht="26.1" customHeight="1" x14ac:dyDescent="0.3">
      <c r="A4" s="1435"/>
      <c r="B4" s="1435"/>
      <c r="C4" s="1435"/>
      <c r="D4" s="1435"/>
      <c r="E4" s="1435"/>
      <c r="F4" s="1435"/>
      <c r="G4" s="1435"/>
      <c r="H4" s="1435"/>
      <c r="I4" s="1435"/>
    </row>
    <row r="5" spans="1:11" ht="18" thickBot="1" x14ac:dyDescent="0.35">
      <c r="A5" s="1375" t="s">
        <v>713</v>
      </c>
      <c r="B5" s="1375"/>
      <c r="C5" s="1375"/>
      <c r="D5" s="1375"/>
      <c r="E5" s="1375"/>
      <c r="F5" s="1375"/>
      <c r="G5" s="1375"/>
      <c r="H5" s="1375"/>
      <c r="I5" s="1375"/>
    </row>
    <row r="6" spans="1:11" ht="19.149999999999999" customHeight="1" x14ac:dyDescent="0.3">
      <c r="A6" s="1436" t="s">
        <v>14</v>
      </c>
      <c r="B6" s="1377"/>
      <c r="C6" s="1377"/>
      <c r="D6" s="1273" t="s">
        <v>237</v>
      </c>
      <c r="E6" s="1273" t="s">
        <v>425</v>
      </c>
      <c r="F6" s="1273" t="s">
        <v>310</v>
      </c>
      <c r="G6" s="1273" t="s">
        <v>59</v>
      </c>
      <c r="H6" s="1328" t="s">
        <v>701</v>
      </c>
      <c r="I6" s="1332" t="s">
        <v>61</v>
      </c>
    </row>
    <row r="7" spans="1:11" ht="18" thickBot="1" x14ac:dyDescent="0.35">
      <c r="A7" s="62" t="s">
        <v>0</v>
      </c>
      <c r="B7" s="63" t="s">
        <v>1</v>
      </c>
      <c r="C7" s="63" t="s">
        <v>2</v>
      </c>
      <c r="D7" s="1274"/>
      <c r="E7" s="1274"/>
      <c r="F7" s="1274"/>
      <c r="G7" s="1274"/>
      <c r="H7" s="1329"/>
      <c r="I7" s="1333"/>
    </row>
    <row r="8" spans="1:11" s="392" customFormat="1" ht="26.25" customHeight="1" x14ac:dyDescent="0.3">
      <c r="A8" s="1417" t="s">
        <v>505</v>
      </c>
      <c r="B8" s="330" t="s">
        <v>507</v>
      </c>
      <c r="C8" s="331" t="s">
        <v>605</v>
      </c>
      <c r="D8" s="271">
        <v>37984430</v>
      </c>
      <c r="E8" s="271">
        <v>19571030</v>
      </c>
      <c r="F8" s="271">
        <v>37984430</v>
      </c>
      <c r="G8" s="272">
        <f>F8-D8</f>
        <v>0</v>
      </c>
      <c r="H8" s="291">
        <f>G8/D8*100%</f>
        <v>0</v>
      </c>
      <c r="I8" s="391"/>
    </row>
    <row r="9" spans="1:11" ht="26.25" customHeight="1" thickBot="1" x14ac:dyDescent="0.35">
      <c r="A9" s="1418"/>
      <c r="B9" s="1419" t="s">
        <v>606</v>
      </c>
      <c r="C9" s="1420"/>
      <c r="D9" s="396">
        <f>D8</f>
        <v>37984430</v>
      </c>
      <c r="E9" s="396">
        <f>E8</f>
        <v>19571030</v>
      </c>
      <c r="F9" s="396">
        <f>F8</f>
        <v>37984430</v>
      </c>
      <c r="G9" s="1142">
        <f>F9-D9</f>
        <v>0</v>
      </c>
      <c r="H9" s="767">
        <f t="shared" ref="H9:H22" si="0">G9/D9*100%</f>
        <v>0</v>
      </c>
      <c r="I9" s="270"/>
    </row>
    <row r="10" spans="1:11" ht="20.25" customHeight="1" x14ac:dyDescent="0.3">
      <c r="A10" s="1360" t="s">
        <v>512</v>
      </c>
      <c r="B10" s="393" t="s">
        <v>513</v>
      </c>
      <c r="C10" s="394" t="s">
        <v>15</v>
      </c>
      <c r="D10" s="332">
        <v>20000000</v>
      </c>
      <c r="E10" s="332">
        <v>20000000</v>
      </c>
      <c r="F10" s="332">
        <v>20000000</v>
      </c>
      <c r="G10" s="1143">
        <f t="shared" ref="G10:G22" si="1">F10-D10</f>
        <v>0</v>
      </c>
      <c r="H10" s="291">
        <f t="shared" si="0"/>
        <v>0</v>
      </c>
      <c r="I10" s="274"/>
    </row>
    <row r="11" spans="1:11" ht="21.75" customHeight="1" thickBot="1" x14ac:dyDescent="0.35">
      <c r="A11" s="1361"/>
      <c r="B11" s="1362" t="s">
        <v>510</v>
      </c>
      <c r="C11" s="1363"/>
      <c r="D11" s="398">
        <f>D10</f>
        <v>20000000</v>
      </c>
      <c r="E11" s="398">
        <f>E10</f>
        <v>20000000</v>
      </c>
      <c r="F11" s="398">
        <f>F10</f>
        <v>20000000</v>
      </c>
      <c r="G11" s="1142">
        <f t="shared" si="1"/>
        <v>0</v>
      </c>
      <c r="H11" s="767">
        <f t="shared" si="0"/>
        <v>0</v>
      </c>
      <c r="I11" s="333"/>
      <c r="K11" s="50"/>
    </row>
    <row r="12" spans="1:11" ht="16.5" customHeight="1" x14ac:dyDescent="0.3">
      <c r="A12" s="1341" t="s">
        <v>514</v>
      </c>
      <c r="B12" s="1422" t="s">
        <v>516</v>
      </c>
      <c r="C12" s="394" t="s">
        <v>607</v>
      </c>
      <c r="D12" s="334"/>
      <c r="E12" s="334"/>
      <c r="F12" s="334"/>
      <c r="G12" s="1143"/>
      <c r="H12" s="1147"/>
      <c r="I12" s="336"/>
    </row>
    <row r="13" spans="1:11" ht="16.5" customHeight="1" x14ac:dyDescent="0.3">
      <c r="A13" s="1421"/>
      <c r="B13" s="1423"/>
      <c r="C13" s="199" t="s">
        <v>519</v>
      </c>
      <c r="D13" s="337">
        <v>8262470</v>
      </c>
      <c r="E13" s="337">
        <v>8262470</v>
      </c>
      <c r="F13" s="337">
        <v>8262470</v>
      </c>
      <c r="G13" s="1146">
        <f t="shared" si="1"/>
        <v>0</v>
      </c>
      <c r="H13" s="283">
        <f t="shared" si="0"/>
        <v>0</v>
      </c>
      <c r="I13" s="338"/>
    </row>
    <row r="14" spans="1:11" ht="17.25" thickBot="1" x14ac:dyDescent="0.35">
      <c r="A14" s="1361"/>
      <c r="B14" s="1424" t="s">
        <v>510</v>
      </c>
      <c r="C14" s="1425"/>
      <c r="D14" s="419">
        <f>SUM(D12:D13)</f>
        <v>8262470</v>
      </c>
      <c r="E14" s="419">
        <f t="shared" ref="E14" si="2">SUM(E12:E13)</f>
        <v>8262470</v>
      </c>
      <c r="F14" s="419">
        <f>SUM(F12:F13)</f>
        <v>8262470</v>
      </c>
      <c r="G14" s="1144">
        <f t="shared" si="1"/>
        <v>0</v>
      </c>
      <c r="H14" s="767">
        <f t="shared" si="0"/>
        <v>0</v>
      </c>
      <c r="I14" s="277"/>
    </row>
    <row r="15" spans="1:11" x14ac:dyDescent="0.3">
      <c r="A15" s="1339" t="s">
        <v>608</v>
      </c>
      <c r="B15" s="752" t="s">
        <v>609</v>
      </c>
      <c r="C15" s="752" t="s">
        <v>331</v>
      </c>
      <c r="D15" s="488"/>
      <c r="E15" s="488"/>
      <c r="F15" s="488"/>
      <c r="G15" s="1143"/>
      <c r="H15" s="1148"/>
      <c r="I15" s="310"/>
    </row>
    <row r="16" spans="1:11" ht="17.25" thickBot="1" x14ac:dyDescent="0.35">
      <c r="A16" s="1335"/>
      <c r="B16" s="1432" t="s">
        <v>468</v>
      </c>
      <c r="C16" s="1433"/>
      <c r="D16" s="418"/>
      <c r="E16" s="418"/>
      <c r="F16" s="418"/>
      <c r="G16" s="1145"/>
      <c r="H16" s="767"/>
      <c r="I16" s="766"/>
    </row>
    <row r="17" spans="1:10" x14ac:dyDescent="0.3">
      <c r="A17" s="1426" t="s">
        <v>522</v>
      </c>
      <c r="B17" s="1429" t="s">
        <v>523</v>
      </c>
      <c r="C17" s="482" t="s">
        <v>525</v>
      </c>
      <c r="D17" s="483">
        <v>9636647</v>
      </c>
      <c r="E17" s="483">
        <v>9636647</v>
      </c>
      <c r="F17" s="483">
        <v>9636647</v>
      </c>
      <c r="G17" s="1143">
        <f t="shared" si="1"/>
        <v>0</v>
      </c>
      <c r="H17" s="1147">
        <f t="shared" si="0"/>
        <v>0</v>
      </c>
      <c r="I17" s="338"/>
    </row>
    <row r="18" spans="1:10" ht="18.75" customHeight="1" x14ac:dyDescent="0.3">
      <c r="A18" s="1427"/>
      <c r="B18" s="1430"/>
      <c r="C18" s="395" t="s">
        <v>527</v>
      </c>
      <c r="D18" s="337">
        <v>161</v>
      </c>
      <c r="E18" s="337">
        <v>161</v>
      </c>
      <c r="F18" s="337">
        <v>161</v>
      </c>
      <c r="G18" s="1146">
        <f t="shared" si="1"/>
        <v>0</v>
      </c>
      <c r="H18" s="283">
        <f t="shared" si="0"/>
        <v>0</v>
      </c>
      <c r="I18" s="338"/>
    </row>
    <row r="19" spans="1:10" ht="17.25" thickBot="1" x14ac:dyDescent="0.35">
      <c r="A19" s="1428"/>
      <c r="B19" s="1431" t="s">
        <v>510</v>
      </c>
      <c r="C19" s="1431"/>
      <c r="D19" s="399">
        <f>SUM(D17:D18)</f>
        <v>9636808</v>
      </c>
      <c r="E19" s="399">
        <f t="shared" ref="E19" si="3">SUM(E17:E18)</f>
        <v>9636808</v>
      </c>
      <c r="F19" s="399">
        <f>SUM(F17:F18)</f>
        <v>9636808</v>
      </c>
      <c r="G19" s="1145">
        <f t="shared" si="1"/>
        <v>0</v>
      </c>
      <c r="H19" s="767">
        <f t="shared" si="0"/>
        <v>0</v>
      </c>
      <c r="I19" s="339"/>
    </row>
    <row r="20" spans="1:10" ht="24.75" customHeight="1" x14ac:dyDescent="0.3">
      <c r="A20" s="1339" t="s">
        <v>584</v>
      </c>
      <c r="B20" s="1338" t="s">
        <v>530</v>
      </c>
      <c r="C20" s="941" t="s">
        <v>586</v>
      </c>
      <c r="D20" s="118">
        <v>13860329</v>
      </c>
      <c r="E20" s="118">
        <v>6315930</v>
      </c>
      <c r="F20" s="118">
        <v>13860329</v>
      </c>
      <c r="G20" s="1143">
        <f t="shared" si="1"/>
        <v>0</v>
      </c>
      <c r="H20" s="1147">
        <f t="shared" si="0"/>
        <v>0</v>
      </c>
      <c r="I20" s="121" t="s">
        <v>610</v>
      </c>
    </row>
    <row r="21" spans="1:10" ht="31.9" customHeight="1" x14ac:dyDescent="0.3">
      <c r="A21" s="1334"/>
      <c r="B21" s="1347"/>
      <c r="C21" s="940" t="s">
        <v>587</v>
      </c>
      <c r="D21" s="115">
        <v>4639000</v>
      </c>
      <c r="E21" s="115">
        <v>4636496</v>
      </c>
      <c r="F21" s="115">
        <v>4639000</v>
      </c>
      <c r="G21" s="1146">
        <f t="shared" si="1"/>
        <v>0</v>
      </c>
      <c r="H21" s="283">
        <f t="shared" si="0"/>
        <v>0</v>
      </c>
      <c r="I21" s="338"/>
    </row>
    <row r="22" spans="1:10" ht="28.9" customHeight="1" thickBot="1" x14ac:dyDescent="0.35">
      <c r="A22" s="1426"/>
      <c r="B22" s="1432" t="s">
        <v>469</v>
      </c>
      <c r="C22" s="1425"/>
      <c r="D22" s="400">
        <f>SUM(D20:D21)</f>
        <v>18499329</v>
      </c>
      <c r="E22" s="400">
        <f>SUM(E20:E21)</f>
        <v>10952426</v>
      </c>
      <c r="F22" s="400">
        <f>SUM(F20:F21)</f>
        <v>18499329</v>
      </c>
      <c r="G22" s="1144">
        <f t="shared" si="1"/>
        <v>0</v>
      </c>
      <c r="H22" s="767">
        <f t="shared" si="0"/>
        <v>0</v>
      </c>
      <c r="I22" s="341"/>
    </row>
    <row r="23" spans="1:10" ht="17.25" thickBot="1" x14ac:dyDescent="0.35">
      <c r="A23" s="1439" t="s">
        <v>16</v>
      </c>
      <c r="B23" s="1440"/>
      <c r="C23" s="1441"/>
      <c r="D23" s="403">
        <f>SUM(D9,D11,D14,D19,D22)</f>
        <v>94383037</v>
      </c>
      <c r="E23" s="403">
        <f>SUM(E9,E11,E14,E19,E22)</f>
        <v>68422734</v>
      </c>
      <c r="F23" s="403">
        <f>SUM(F9,F11,F14,F19,F22)</f>
        <v>94383037</v>
      </c>
      <c r="G23" s="403">
        <f>F23-D23</f>
        <v>0</v>
      </c>
      <c r="H23" s="404">
        <f>G23/D23*100%</f>
        <v>0</v>
      </c>
      <c r="I23" s="342"/>
      <c r="J23" s="50"/>
    </row>
    <row r="24" spans="1:10" ht="21" thickBot="1" x14ac:dyDescent="0.35">
      <c r="A24" s="1444" t="s">
        <v>620</v>
      </c>
      <c r="B24" s="1445"/>
      <c r="C24" s="1445"/>
      <c r="D24" s="1445"/>
      <c r="E24" s="1445"/>
      <c r="F24" s="1445"/>
      <c r="G24" s="1445"/>
      <c r="H24" s="1445"/>
      <c r="I24" s="1445"/>
    </row>
    <row r="25" spans="1:10" ht="17.45" customHeight="1" x14ac:dyDescent="0.3">
      <c r="A25" s="1446" t="s">
        <v>14</v>
      </c>
      <c r="B25" s="1447"/>
      <c r="C25" s="1447"/>
      <c r="D25" s="1437" t="s">
        <v>237</v>
      </c>
      <c r="E25" s="1437" t="s">
        <v>426</v>
      </c>
      <c r="F25" s="1273" t="s">
        <v>318</v>
      </c>
      <c r="G25" s="1273" t="s">
        <v>427</v>
      </c>
      <c r="H25" s="1328" t="s">
        <v>449</v>
      </c>
      <c r="I25" s="1448" t="s">
        <v>130</v>
      </c>
    </row>
    <row r="26" spans="1:10" ht="18" customHeight="1" thickBot="1" x14ac:dyDescent="0.35">
      <c r="A26" s="512" t="s">
        <v>0</v>
      </c>
      <c r="B26" s="513" t="s">
        <v>1</v>
      </c>
      <c r="C26" s="513" t="s">
        <v>2</v>
      </c>
      <c r="D26" s="1438"/>
      <c r="E26" s="1438"/>
      <c r="F26" s="1274"/>
      <c r="G26" s="1274"/>
      <c r="H26" s="1329"/>
      <c r="I26" s="1449"/>
    </row>
    <row r="27" spans="1:10" x14ac:dyDescent="0.3">
      <c r="A27" s="1334" t="s">
        <v>536</v>
      </c>
      <c r="B27" s="1336" t="s">
        <v>538</v>
      </c>
      <c r="C27" s="198" t="s">
        <v>611</v>
      </c>
      <c r="D27" s="1204">
        <v>46186680</v>
      </c>
      <c r="E27" s="944">
        <v>35639420</v>
      </c>
      <c r="F27" s="1149">
        <v>46186680</v>
      </c>
      <c r="G27" s="340">
        <f>F27-D27</f>
        <v>0</v>
      </c>
      <c r="H27" s="353">
        <f>G27/D27*100%</f>
        <v>0</v>
      </c>
      <c r="I27" s="511"/>
    </row>
    <row r="28" spans="1:10" x14ac:dyDescent="0.3">
      <c r="A28" s="1334"/>
      <c r="B28" s="1336"/>
      <c r="C28" s="199" t="s">
        <v>540</v>
      </c>
      <c r="D28" s="1149">
        <v>6000000</v>
      </c>
      <c r="E28" s="945">
        <v>0</v>
      </c>
      <c r="F28" s="1149">
        <v>6000000</v>
      </c>
      <c r="G28" s="340">
        <f t="shared" ref="G28:G50" si="4">F28-D28</f>
        <v>0</v>
      </c>
      <c r="H28" s="343">
        <f t="shared" ref="H28:H31" si="5">G28/D28*100%</f>
        <v>0</v>
      </c>
      <c r="I28" s="344"/>
    </row>
    <row r="29" spans="1:10" x14ac:dyDescent="0.3">
      <c r="A29" s="1334"/>
      <c r="B29" s="1336"/>
      <c r="C29" s="199" t="s">
        <v>542</v>
      </c>
      <c r="D29" s="1149">
        <v>7215390</v>
      </c>
      <c r="E29" s="945">
        <v>6596570</v>
      </c>
      <c r="F29" s="1149">
        <v>7215390</v>
      </c>
      <c r="G29" s="340">
        <f t="shared" si="4"/>
        <v>0</v>
      </c>
      <c r="H29" s="343">
        <f t="shared" si="5"/>
        <v>0</v>
      </c>
      <c r="I29" s="345"/>
    </row>
    <row r="30" spans="1:10" x14ac:dyDescent="0.3">
      <c r="A30" s="1334"/>
      <c r="B30" s="1336"/>
      <c r="C30" s="199" t="s">
        <v>544</v>
      </c>
      <c r="D30" s="1150"/>
      <c r="E30" s="945"/>
      <c r="F30" s="1150"/>
      <c r="G30" s="340"/>
      <c r="H30" s="343"/>
      <c r="I30" s="346"/>
    </row>
    <row r="31" spans="1:10" ht="17.25" thickBot="1" x14ac:dyDescent="0.35">
      <c r="A31" s="1334"/>
      <c r="B31" s="1337"/>
      <c r="C31" s="939" t="s">
        <v>725</v>
      </c>
      <c r="D31" s="946">
        <f>SUM(D27:D30)</f>
        <v>59402070</v>
      </c>
      <c r="E31" s="413">
        <f t="shared" ref="E31" si="6">SUM(E27:E30)</f>
        <v>42235990</v>
      </c>
      <c r="F31" s="946">
        <f>SUM(F27:F30)</f>
        <v>59402070</v>
      </c>
      <c r="G31" s="1154">
        <f t="shared" si="4"/>
        <v>0</v>
      </c>
      <c r="H31" s="949">
        <f t="shared" si="5"/>
        <v>0</v>
      </c>
      <c r="I31" s="348"/>
    </row>
    <row r="32" spans="1:10" x14ac:dyDescent="0.3">
      <c r="A32" s="1334"/>
      <c r="B32" s="1338" t="s">
        <v>546</v>
      </c>
      <c r="C32" s="200" t="s">
        <v>547</v>
      </c>
      <c r="D32" s="349">
        <v>1200000</v>
      </c>
      <c r="E32" s="414">
        <v>396000</v>
      </c>
      <c r="F32" s="349">
        <v>1200000</v>
      </c>
      <c r="G32" s="340">
        <f t="shared" si="4"/>
        <v>0</v>
      </c>
      <c r="H32" s="405">
        <f>G32/D32*100%</f>
        <v>0</v>
      </c>
      <c r="I32" s="350"/>
    </row>
    <row r="33" spans="1:9" x14ac:dyDescent="0.3">
      <c r="A33" s="1334"/>
      <c r="B33" s="1336"/>
      <c r="C33" s="199" t="s">
        <v>548</v>
      </c>
      <c r="D33" s="351">
        <v>1000000</v>
      </c>
      <c r="E33" s="415">
        <v>655660</v>
      </c>
      <c r="F33" s="351">
        <v>1000000</v>
      </c>
      <c r="G33" s="340">
        <f t="shared" si="4"/>
        <v>0</v>
      </c>
      <c r="H33" s="406">
        <f t="shared" ref="H33:H34" si="7">G33/D33*100%</f>
        <v>0</v>
      </c>
      <c r="I33" s="345"/>
    </row>
    <row r="34" spans="1:9" ht="17.25" thickBot="1" x14ac:dyDescent="0.35">
      <c r="A34" s="1334"/>
      <c r="B34" s="1337"/>
      <c r="C34" s="939" t="s">
        <v>725</v>
      </c>
      <c r="D34" s="347">
        <f>SUM(D32:D33)</f>
        <v>2200000</v>
      </c>
      <c r="E34" s="413">
        <f t="shared" ref="E34" si="8">SUM(E32:E33)</f>
        <v>1051660</v>
      </c>
      <c r="F34" s="347">
        <f>SUM(F32:F33)</f>
        <v>2200000</v>
      </c>
      <c r="G34" s="1154">
        <f t="shared" si="4"/>
        <v>0</v>
      </c>
      <c r="H34" s="407">
        <f t="shared" si="7"/>
        <v>0</v>
      </c>
      <c r="I34" s="352"/>
    </row>
    <row r="35" spans="1:9" x14ac:dyDescent="0.3">
      <c r="A35" s="1334"/>
      <c r="B35" s="1338" t="s">
        <v>549</v>
      </c>
      <c r="C35" s="200" t="s">
        <v>551</v>
      </c>
      <c r="D35" s="1151">
        <v>50000</v>
      </c>
      <c r="E35" s="1158">
        <v>0</v>
      </c>
      <c r="F35" s="1151">
        <v>50000</v>
      </c>
      <c r="G35" s="335">
        <f t="shared" si="4"/>
        <v>0</v>
      </c>
      <c r="H35" s="1159">
        <f>G35/D35*100%</f>
        <v>0</v>
      </c>
      <c r="I35" s="1160"/>
    </row>
    <row r="36" spans="1:9" x14ac:dyDescent="0.3">
      <c r="A36" s="1334"/>
      <c r="B36" s="1336"/>
      <c r="C36" s="199" t="s">
        <v>612</v>
      </c>
      <c r="D36" s="1152">
        <v>3000000</v>
      </c>
      <c r="E36" s="947">
        <v>3012420</v>
      </c>
      <c r="F36" s="1152">
        <v>3000000</v>
      </c>
      <c r="G36" s="340">
        <f t="shared" si="4"/>
        <v>0</v>
      </c>
      <c r="H36" s="353">
        <f t="shared" ref="H36:H41" si="9">G36/D36*100%</f>
        <v>0</v>
      </c>
      <c r="I36" s="345"/>
    </row>
    <row r="37" spans="1:9" x14ac:dyDescent="0.3">
      <c r="A37" s="1334"/>
      <c r="B37" s="1336"/>
      <c r="C37" s="199" t="s">
        <v>613</v>
      </c>
      <c r="D37" s="1152">
        <v>169120</v>
      </c>
      <c r="E37" s="947">
        <v>151500</v>
      </c>
      <c r="F37" s="1152">
        <v>169120</v>
      </c>
      <c r="G37" s="340">
        <f t="shared" si="4"/>
        <v>0</v>
      </c>
      <c r="H37" s="353">
        <f t="shared" si="9"/>
        <v>0</v>
      </c>
      <c r="I37" s="345"/>
    </row>
    <row r="38" spans="1:9" x14ac:dyDescent="0.3">
      <c r="A38" s="1334"/>
      <c r="B38" s="1336"/>
      <c r="C38" s="199" t="s">
        <v>555</v>
      </c>
      <c r="D38" s="1152">
        <v>7500000</v>
      </c>
      <c r="E38" s="947">
        <v>8474655</v>
      </c>
      <c r="F38" s="1152">
        <v>7500000</v>
      </c>
      <c r="G38" s="340">
        <f t="shared" si="4"/>
        <v>0</v>
      </c>
      <c r="H38" s="353">
        <f t="shared" si="9"/>
        <v>0</v>
      </c>
      <c r="I38" s="345"/>
    </row>
    <row r="39" spans="1:9" x14ac:dyDescent="0.3">
      <c r="A39" s="1334"/>
      <c r="B39" s="1336"/>
      <c r="C39" s="199" t="s">
        <v>557</v>
      </c>
      <c r="D39" s="1153">
        <v>100000</v>
      </c>
      <c r="E39" s="947">
        <v>56000</v>
      </c>
      <c r="F39" s="1153">
        <v>100000</v>
      </c>
      <c r="G39" s="340">
        <f t="shared" si="4"/>
        <v>0</v>
      </c>
      <c r="H39" s="353">
        <f t="shared" si="9"/>
        <v>0</v>
      </c>
      <c r="I39" s="354"/>
    </row>
    <row r="40" spans="1:9" ht="17.25" thickBot="1" x14ac:dyDescent="0.35">
      <c r="A40" s="1334"/>
      <c r="B40" s="1337"/>
      <c r="C40" s="939" t="s">
        <v>725</v>
      </c>
      <c r="D40" s="347">
        <f>SUM(D35:D39)</f>
        <v>10819120</v>
      </c>
      <c r="E40" s="413">
        <f t="shared" ref="E40" si="10">SUM(E35:E39)</f>
        <v>11694575</v>
      </c>
      <c r="F40" s="347">
        <f>SUM(F35:F39)</f>
        <v>10819120</v>
      </c>
      <c r="G40" s="1161">
        <f t="shared" si="4"/>
        <v>0</v>
      </c>
      <c r="H40" s="1162">
        <f t="shared" si="9"/>
        <v>0</v>
      </c>
      <c r="I40" s="352"/>
    </row>
    <row r="41" spans="1:9" ht="17.25" thickBot="1" x14ac:dyDescent="0.35">
      <c r="A41" s="1335"/>
      <c r="B41" s="1355" t="s">
        <v>510</v>
      </c>
      <c r="C41" s="1356"/>
      <c r="D41" s="946">
        <f>SUM(D31,D34,D40)</f>
        <v>72421190</v>
      </c>
      <c r="E41" s="1156">
        <f>SUM(E31,E34,E40)</f>
        <v>54982225</v>
      </c>
      <c r="F41" s="946">
        <f>SUM(F31,F34,F40)</f>
        <v>72421190</v>
      </c>
      <c r="G41" s="1161">
        <f t="shared" si="4"/>
        <v>0</v>
      </c>
      <c r="H41" s="1162">
        <f t="shared" si="9"/>
        <v>0</v>
      </c>
      <c r="I41" s="1157"/>
    </row>
    <row r="42" spans="1:9" x14ac:dyDescent="0.3">
      <c r="A42" s="1339" t="s">
        <v>558</v>
      </c>
      <c r="B42" s="1338" t="s">
        <v>559</v>
      </c>
      <c r="C42" s="200" t="s">
        <v>614</v>
      </c>
      <c r="D42" s="258">
        <v>7500000</v>
      </c>
      <c r="E42" s="410">
        <v>0</v>
      </c>
      <c r="F42" s="258">
        <v>7500000</v>
      </c>
      <c r="G42" s="335">
        <f t="shared" si="4"/>
        <v>0</v>
      </c>
      <c r="H42" s="408">
        <f>G42/D42*100%</f>
        <v>0</v>
      </c>
      <c r="I42" s="261"/>
    </row>
    <row r="43" spans="1:9" x14ac:dyDescent="0.3">
      <c r="A43" s="1334"/>
      <c r="B43" s="1347"/>
      <c r="C43" s="199" t="s">
        <v>615</v>
      </c>
      <c r="D43" s="249">
        <v>10913400</v>
      </c>
      <c r="E43" s="411">
        <v>0</v>
      </c>
      <c r="F43" s="249">
        <v>10913400</v>
      </c>
      <c r="G43" s="340">
        <f t="shared" si="4"/>
        <v>0</v>
      </c>
      <c r="H43" s="409">
        <f t="shared" ref="H43:H44" si="11">G43/D43*100%</f>
        <v>0</v>
      </c>
      <c r="I43" s="124"/>
    </row>
    <row r="44" spans="1:9" ht="17.25" thickBot="1" x14ac:dyDescent="0.35">
      <c r="A44" s="1335"/>
      <c r="B44" s="1348" t="s">
        <v>521</v>
      </c>
      <c r="C44" s="1349"/>
      <c r="D44" s="250">
        <f>SUM(D42:D43)</f>
        <v>18413400</v>
      </c>
      <c r="E44" s="412">
        <f t="shared" ref="E44" si="12">SUM(E42:E43)</f>
        <v>0</v>
      </c>
      <c r="F44" s="250">
        <f>SUM(F42:F43)</f>
        <v>18413400</v>
      </c>
      <c r="G44" s="1161">
        <f t="shared" si="4"/>
        <v>0</v>
      </c>
      <c r="H44" s="1163">
        <f t="shared" si="11"/>
        <v>0</v>
      </c>
      <c r="I44" s="257"/>
    </row>
    <row r="45" spans="1:9" x14ac:dyDescent="0.3">
      <c r="A45" s="1339" t="s">
        <v>616</v>
      </c>
      <c r="B45" s="200" t="s">
        <v>617</v>
      </c>
      <c r="C45" s="200" t="s">
        <v>598</v>
      </c>
      <c r="D45" s="264">
        <v>50000</v>
      </c>
      <c r="E45" s="416">
        <v>0</v>
      </c>
      <c r="F45" s="264">
        <v>50000</v>
      </c>
      <c r="G45" s="335">
        <f t="shared" si="4"/>
        <v>0</v>
      </c>
      <c r="H45" s="408">
        <f>G45/D45*100%</f>
        <v>0</v>
      </c>
      <c r="I45" s="266"/>
    </row>
    <row r="46" spans="1:9" ht="17.25" thickBot="1" x14ac:dyDescent="0.35">
      <c r="A46" s="1335"/>
      <c r="B46" s="1348" t="s">
        <v>521</v>
      </c>
      <c r="C46" s="1349"/>
      <c r="D46" s="246">
        <f>D45</f>
        <v>50000</v>
      </c>
      <c r="E46" s="417">
        <f t="shared" ref="E46" si="13">E45</f>
        <v>0</v>
      </c>
      <c r="F46" s="246">
        <f>F45</f>
        <v>50000</v>
      </c>
      <c r="G46" s="1161">
        <f t="shared" si="4"/>
        <v>0</v>
      </c>
      <c r="H46" s="1063">
        <f>G46/D46*100%</f>
        <v>0</v>
      </c>
      <c r="I46" s="257"/>
    </row>
    <row r="47" spans="1:9" x14ac:dyDescent="0.3">
      <c r="A47" s="1339" t="s">
        <v>618</v>
      </c>
      <c r="B47" s="200" t="s">
        <v>568</v>
      </c>
      <c r="C47" s="200" t="s">
        <v>619</v>
      </c>
      <c r="D47" s="46"/>
      <c r="E47" s="285"/>
      <c r="F47" s="46"/>
      <c r="G47" s="335"/>
      <c r="H47" s="307"/>
      <c r="I47" s="49"/>
    </row>
    <row r="48" spans="1:9" ht="17.25" thickBot="1" x14ac:dyDescent="0.35">
      <c r="A48" s="1335"/>
      <c r="B48" s="1432" t="s">
        <v>510</v>
      </c>
      <c r="C48" s="1433"/>
      <c r="D48" s="59"/>
      <c r="E48" s="418"/>
      <c r="F48" s="59"/>
      <c r="G48" s="1161"/>
      <c r="H48" s="1063"/>
      <c r="I48" s="60"/>
    </row>
    <row r="49" spans="1:9" ht="17.100000000000001" customHeight="1" x14ac:dyDescent="0.3">
      <c r="A49" s="1334" t="s">
        <v>114</v>
      </c>
      <c r="B49" s="262" t="s">
        <v>27</v>
      </c>
      <c r="C49" s="262" t="s">
        <v>28</v>
      </c>
      <c r="D49" s="886">
        <v>3498447</v>
      </c>
      <c r="E49" s="205">
        <v>13440509</v>
      </c>
      <c r="F49" s="886">
        <v>3498447</v>
      </c>
      <c r="G49" s="340">
        <f t="shared" si="4"/>
        <v>0</v>
      </c>
      <c r="H49" s="254">
        <f>G49/D49*100%</f>
        <v>0</v>
      </c>
      <c r="I49" s="263"/>
    </row>
    <row r="50" spans="1:9" ht="17.25" thickBot="1" x14ac:dyDescent="0.35">
      <c r="A50" s="1335"/>
      <c r="B50" s="1432" t="s">
        <v>572</v>
      </c>
      <c r="C50" s="1433"/>
      <c r="D50" s="125">
        <f>D49</f>
        <v>3498447</v>
      </c>
      <c r="E50" s="125">
        <f t="shared" ref="E50" si="14">E49</f>
        <v>13440509</v>
      </c>
      <c r="F50" s="125">
        <f>F49</f>
        <v>3498447</v>
      </c>
      <c r="G50" s="340">
        <f t="shared" si="4"/>
        <v>0</v>
      </c>
      <c r="H50" s="436">
        <f t="shared" ref="H50:H51" si="15">G50/D50*100%</f>
        <v>0</v>
      </c>
      <c r="I50" s="126"/>
    </row>
    <row r="51" spans="1:9" ht="17.25" thickBot="1" x14ac:dyDescent="0.35">
      <c r="A51" s="1442" t="s">
        <v>16</v>
      </c>
      <c r="B51" s="1443"/>
      <c r="C51" s="1443"/>
      <c r="D51" s="129">
        <f>SUM(D41,D44,D46,D48,D50)</f>
        <v>94383037</v>
      </c>
      <c r="E51" s="129">
        <f t="shared" ref="E51" si="16">SUM(E41,E44,E46,E48,E50)</f>
        <v>68422734</v>
      </c>
      <c r="F51" s="129">
        <f>SUM(F41,F44,F46,F48,F50)</f>
        <v>94383037</v>
      </c>
      <c r="G51" s="1155">
        <f>SUM(G41,G44,G46,G48,G50)</f>
        <v>0</v>
      </c>
      <c r="H51" s="437">
        <f t="shared" si="15"/>
        <v>0</v>
      </c>
      <c r="I51" s="128"/>
    </row>
    <row r="52" spans="1:9" x14ac:dyDescent="0.3">
      <c r="A52" s="421"/>
      <c r="B52" s="425"/>
      <c r="C52" s="428"/>
      <c r="D52" s="425"/>
      <c r="E52" s="1062"/>
      <c r="F52" s="438"/>
      <c r="G52" s="438"/>
      <c r="H52" s="433"/>
      <c r="I52" s="435"/>
    </row>
    <row r="53" spans="1:9" x14ac:dyDescent="0.3">
      <c r="A53" s="420"/>
      <c r="B53" s="424"/>
      <c r="C53" s="427"/>
      <c r="D53" s="424"/>
      <c r="E53" s="424"/>
      <c r="F53" s="438"/>
      <c r="G53" s="424"/>
      <c r="H53" s="432"/>
      <c r="I53" s="424"/>
    </row>
    <row r="54" spans="1:9" x14ac:dyDescent="0.3">
      <c r="A54" s="420"/>
      <c r="B54" s="424"/>
      <c r="C54" s="427"/>
      <c r="D54" s="424"/>
      <c r="E54" s="424"/>
      <c r="F54" s="424"/>
      <c r="G54" s="424"/>
      <c r="H54" s="432"/>
      <c r="I54" s="427"/>
    </row>
    <row r="55" spans="1:9" x14ac:dyDescent="0.3">
      <c r="A55" s="422"/>
      <c r="B55" s="426"/>
      <c r="C55" s="429"/>
      <c r="D55" s="426"/>
      <c r="E55" s="426"/>
      <c r="F55" s="426"/>
      <c r="G55" s="426"/>
      <c r="H55" s="434"/>
      <c r="I55" s="429"/>
    </row>
    <row r="56" spans="1:9" x14ac:dyDescent="0.3">
      <c r="A56" s="422"/>
      <c r="B56" s="426"/>
      <c r="C56" s="429"/>
      <c r="D56" s="426"/>
      <c r="E56" s="426"/>
      <c r="F56" s="426"/>
      <c r="G56" s="426"/>
      <c r="H56" s="434"/>
      <c r="I56" s="429"/>
    </row>
    <row r="57" spans="1:9" x14ac:dyDescent="0.3">
      <c r="A57" s="423"/>
      <c r="B57" s="11"/>
      <c r="C57" s="430"/>
      <c r="D57" s="431"/>
      <c r="E57" s="11"/>
      <c r="F57" s="11"/>
      <c r="G57" s="11"/>
      <c r="H57" s="57"/>
      <c r="I57" s="11"/>
    </row>
    <row r="58" spans="1:9" x14ac:dyDescent="0.3">
      <c r="A58" s="10"/>
      <c r="B58" s="11"/>
      <c r="C58" s="11"/>
      <c r="D58" s="11"/>
      <c r="E58" s="11"/>
      <c r="F58" s="11"/>
      <c r="G58" s="11"/>
      <c r="H58" s="57"/>
      <c r="I58" s="11"/>
    </row>
    <row r="59" spans="1:9" x14ac:dyDescent="0.3">
      <c r="A59" s="10"/>
      <c r="B59" s="11"/>
      <c r="C59" s="11"/>
      <c r="D59" s="11"/>
      <c r="E59" s="11"/>
      <c r="F59" s="11"/>
      <c r="G59" s="11"/>
      <c r="H59" s="57"/>
      <c r="I59" s="11"/>
    </row>
    <row r="60" spans="1:9" x14ac:dyDescent="0.3">
      <c r="A60" s="10"/>
      <c r="B60" s="11"/>
      <c r="C60" s="11"/>
      <c r="D60" s="11"/>
      <c r="E60" s="11"/>
      <c r="F60" s="11"/>
      <c r="G60" s="11"/>
      <c r="H60" s="57"/>
      <c r="I60" s="11"/>
    </row>
    <row r="61" spans="1:9" x14ac:dyDescent="0.3">
      <c r="A61" s="10"/>
      <c r="B61" s="11"/>
      <c r="C61" s="11"/>
      <c r="D61" s="11"/>
      <c r="E61" s="11"/>
      <c r="F61" s="11"/>
      <c r="G61" s="11"/>
      <c r="H61" s="57"/>
      <c r="I61" s="11"/>
    </row>
    <row r="62" spans="1:9" x14ac:dyDescent="0.3">
      <c r="A62" s="10"/>
      <c r="B62" s="11"/>
      <c r="C62" s="11"/>
      <c r="D62" s="11"/>
      <c r="E62" s="11"/>
      <c r="F62" s="11"/>
      <c r="G62" s="11"/>
      <c r="H62" s="57"/>
      <c r="I62" s="11"/>
    </row>
    <row r="63" spans="1:9" x14ac:dyDescent="0.3">
      <c r="A63" s="10"/>
      <c r="B63" s="11"/>
      <c r="C63" s="11"/>
      <c r="D63" s="11"/>
      <c r="E63" s="11"/>
      <c r="F63" s="11"/>
      <c r="G63" s="11"/>
      <c r="H63" s="57"/>
      <c r="I63" s="11"/>
    </row>
    <row r="64" spans="1:9" x14ac:dyDescent="0.3">
      <c r="A64" s="10"/>
      <c r="B64" s="11"/>
      <c r="C64" s="11"/>
      <c r="D64" s="11"/>
      <c r="E64" s="11"/>
      <c r="F64" s="11"/>
      <c r="G64" s="11"/>
      <c r="H64" s="57"/>
      <c r="I64" s="11"/>
    </row>
    <row r="65" spans="1:9" x14ac:dyDescent="0.3">
      <c r="A65" s="10"/>
      <c r="B65" s="11"/>
      <c r="C65" s="11"/>
      <c r="D65" s="11"/>
      <c r="E65" s="11"/>
      <c r="F65" s="11"/>
      <c r="G65" s="11"/>
      <c r="H65" s="57"/>
      <c r="I65" s="11"/>
    </row>
    <row r="66" spans="1:9" x14ac:dyDescent="0.3">
      <c r="A66" s="10"/>
      <c r="B66" s="11"/>
      <c r="C66" s="11"/>
      <c r="D66" s="11"/>
      <c r="E66" s="11"/>
      <c r="F66" s="11"/>
      <c r="G66" s="11"/>
      <c r="H66" s="57"/>
      <c r="I66" s="11"/>
    </row>
    <row r="67" spans="1:9" x14ac:dyDescent="0.3">
      <c r="A67" s="10"/>
      <c r="B67" s="11"/>
      <c r="C67" s="11"/>
      <c r="D67" s="11"/>
      <c r="E67" s="11"/>
      <c r="F67" s="11"/>
      <c r="G67" s="11"/>
      <c r="H67" s="57"/>
      <c r="I67" s="11"/>
    </row>
    <row r="68" spans="1:9" x14ac:dyDescent="0.3">
      <c r="A68" s="10"/>
      <c r="B68" s="11"/>
      <c r="C68" s="11"/>
      <c r="D68" s="11"/>
      <c r="E68" s="11"/>
      <c r="F68" s="11"/>
      <c r="G68" s="11"/>
      <c r="H68" s="57"/>
      <c r="I68" s="11"/>
    </row>
    <row r="69" spans="1:9" x14ac:dyDescent="0.3">
      <c r="A69" s="10"/>
      <c r="B69" s="11"/>
      <c r="C69" s="11"/>
      <c r="D69" s="11"/>
      <c r="E69" s="11"/>
      <c r="F69" s="11"/>
      <c r="G69" s="11"/>
      <c r="H69" s="57"/>
      <c r="I69" s="11"/>
    </row>
    <row r="70" spans="1:9" x14ac:dyDescent="0.3">
      <c r="A70" s="10"/>
      <c r="B70" s="11"/>
      <c r="C70" s="11"/>
      <c r="D70" s="11"/>
      <c r="E70" s="11"/>
      <c r="F70" s="11"/>
      <c r="G70" s="11"/>
      <c r="H70" s="57"/>
      <c r="I70" s="11"/>
    </row>
    <row r="71" spans="1:9" x14ac:dyDescent="0.3">
      <c r="A71" s="10"/>
      <c r="B71" s="11"/>
      <c r="C71" s="11"/>
      <c r="D71" s="11"/>
      <c r="E71" s="11"/>
      <c r="F71" s="11"/>
      <c r="G71" s="11"/>
      <c r="H71" s="57"/>
      <c r="I71" s="11"/>
    </row>
    <row r="72" spans="1:9" x14ac:dyDescent="0.3">
      <c r="A72" s="10"/>
      <c r="B72" s="11"/>
      <c r="C72" s="11"/>
      <c r="D72" s="11"/>
      <c r="E72" s="11"/>
      <c r="F72" s="11"/>
      <c r="G72" s="11"/>
      <c r="H72" s="57"/>
      <c r="I72" s="11"/>
    </row>
    <row r="73" spans="1:9" x14ac:dyDescent="0.3">
      <c r="A73" s="10"/>
      <c r="B73" s="11"/>
      <c r="C73" s="11"/>
      <c r="D73" s="11"/>
      <c r="E73" s="11"/>
      <c r="F73" s="11"/>
      <c r="G73" s="11"/>
      <c r="H73" s="57"/>
      <c r="I73" s="11"/>
    </row>
    <row r="74" spans="1:9" x14ac:dyDescent="0.3">
      <c r="A74" s="10"/>
      <c r="B74" s="11"/>
      <c r="C74" s="11"/>
      <c r="D74" s="11"/>
      <c r="E74" s="11"/>
      <c r="F74" s="11"/>
      <c r="G74" s="11"/>
      <c r="H74" s="57"/>
      <c r="I74" s="11"/>
    </row>
    <row r="75" spans="1:9" x14ac:dyDescent="0.3">
      <c r="A75" s="10"/>
      <c r="B75" s="11"/>
      <c r="C75" s="11"/>
      <c r="D75" s="11"/>
      <c r="E75" s="11"/>
      <c r="F75" s="11"/>
      <c r="G75" s="11"/>
      <c r="H75" s="57"/>
      <c r="I75" s="11"/>
    </row>
    <row r="76" spans="1:9" x14ac:dyDescent="0.3">
      <c r="A76" s="10"/>
      <c r="B76" s="11"/>
      <c r="C76" s="11"/>
      <c r="D76" s="11"/>
      <c r="E76" s="11"/>
      <c r="F76" s="11"/>
      <c r="G76" s="11"/>
      <c r="H76" s="57"/>
      <c r="I76" s="11"/>
    </row>
    <row r="77" spans="1:9" x14ac:dyDescent="0.3">
      <c r="A77" s="10"/>
      <c r="B77" s="11"/>
      <c r="C77" s="11"/>
      <c r="D77" s="11"/>
      <c r="E77" s="11"/>
      <c r="F77" s="11"/>
      <c r="G77" s="11"/>
      <c r="H77" s="57"/>
      <c r="I77" s="11"/>
    </row>
    <row r="78" spans="1:9" x14ac:dyDescent="0.3">
      <c r="A78" s="10"/>
      <c r="B78" s="11"/>
      <c r="C78" s="11"/>
      <c r="D78" s="11"/>
      <c r="E78" s="11"/>
      <c r="F78" s="11"/>
      <c r="G78" s="11"/>
      <c r="H78" s="57"/>
      <c r="I78" s="11"/>
    </row>
    <row r="79" spans="1:9" x14ac:dyDescent="0.3">
      <c r="A79" s="10"/>
      <c r="B79" s="11"/>
      <c r="C79" s="11"/>
      <c r="D79" s="11"/>
      <c r="E79" s="11"/>
      <c r="F79" s="11"/>
      <c r="G79" s="11"/>
      <c r="H79" s="57"/>
      <c r="I79" s="11"/>
    </row>
    <row r="80" spans="1:9" x14ac:dyDescent="0.3">
      <c r="A80" s="10"/>
      <c r="B80" s="11"/>
      <c r="C80" s="11"/>
      <c r="D80" s="11"/>
      <c r="E80" s="11"/>
      <c r="F80" s="11"/>
      <c r="G80" s="11"/>
      <c r="H80" s="57"/>
      <c r="I80" s="11"/>
    </row>
    <row r="81" spans="1:9" x14ac:dyDescent="0.3">
      <c r="A81" s="10"/>
      <c r="B81" s="11"/>
      <c r="C81" s="11"/>
      <c r="D81" s="11"/>
      <c r="E81" s="11"/>
      <c r="F81" s="11"/>
      <c r="G81" s="11"/>
      <c r="H81" s="57"/>
      <c r="I81" s="11"/>
    </row>
    <row r="82" spans="1:9" x14ac:dyDescent="0.3">
      <c r="A82" s="10"/>
      <c r="B82" s="11"/>
      <c r="C82" s="11"/>
      <c r="D82" s="11"/>
      <c r="E82" s="11"/>
      <c r="F82" s="11"/>
      <c r="G82" s="11"/>
      <c r="H82" s="57"/>
      <c r="I82" s="11"/>
    </row>
    <row r="83" spans="1:9" x14ac:dyDescent="0.3">
      <c r="A83" s="10"/>
      <c r="B83" s="11"/>
      <c r="C83" s="11"/>
      <c r="D83" s="11"/>
      <c r="E83" s="11"/>
      <c r="F83" s="11"/>
      <c r="G83" s="11"/>
      <c r="H83" s="57"/>
      <c r="I83" s="11"/>
    </row>
    <row r="84" spans="1:9" x14ac:dyDescent="0.3">
      <c r="A84" s="10"/>
      <c r="B84" s="11"/>
      <c r="C84" s="11"/>
      <c r="D84" s="11"/>
      <c r="E84" s="11"/>
      <c r="F84" s="11"/>
      <c r="G84" s="11"/>
      <c r="H84" s="57"/>
      <c r="I84" s="11"/>
    </row>
  </sheetData>
  <mergeCells count="50">
    <mergeCell ref="B48:C48"/>
    <mergeCell ref="B50:C50"/>
    <mergeCell ref="A23:C23"/>
    <mergeCell ref="A51:C51"/>
    <mergeCell ref="A24:I24"/>
    <mergeCell ref="A25:C25"/>
    <mergeCell ref="D25:D26"/>
    <mergeCell ref="F25:F26"/>
    <mergeCell ref="G25:G26"/>
    <mergeCell ref="I25:I26"/>
    <mergeCell ref="H25:H26"/>
    <mergeCell ref="B42:B43"/>
    <mergeCell ref="A42:A44"/>
    <mergeCell ref="A45:A46"/>
    <mergeCell ref="A49:A50"/>
    <mergeCell ref="A47:A48"/>
    <mergeCell ref="B46:C46"/>
    <mergeCell ref="B44:C44"/>
    <mergeCell ref="B41:C41"/>
    <mergeCell ref="B35:B40"/>
    <mergeCell ref="B32:B34"/>
    <mergeCell ref="B27:B31"/>
    <mergeCell ref="A27:A41"/>
    <mergeCell ref="A1:I1"/>
    <mergeCell ref="A2:I2"/>
    <mergeCell ref="H6:H7"/>
    <mergeCell ref="A3:I4"/>
    <mergeCell ref="A5:I5"/>
    <mergeCell ref="A6:C6"/>
    <mergeCell ref="D6:D7"/>
    <mergeCell ref="F6:F7"/>
    <mergeCell ref="G6:G7"/>
    <mergeCell ref="I6:I7"/>
    <mergeCell ref="E6:E7"/>
    <mergeCell ref="E25:E26"/>
    <mergeCell ref="B11:C11"/>
    <mergeCell ref="A10:A11"/>
    <mergeCell ref="A8:A9"/>
    <mergeCell ref="B9:C9"/>
    <mergeCell ref="B20:B21"/>
    <mergeCell ref="A20:A22"/>
    <mergeCell ref="A12:A14"/>
    <mergeCell ref="B12:B13"/>
    <mergeCell ref="B17:B18"/>
    <mergeCell ref="A17:A19"/>
    <mergeCell ref="B19:C19"/>
    <mergeCell ref="B14:C14"/>
    <mergeCell ref="B22:C22"/>
    <mergeCell ref="A15:A16"/>
    <mergeCell ref="B16:C16"/>
  </mergeCells>
  <phoneticPr fontId="2" type="noConversion"/>
  <pageMargins left="0.23622047244094491" right="0.23622047244094491" top="0.94488188976377963" bottom="1.5354330708661419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opLeftCell="A18" zoomScale="70" zoomScaleNormal="70" workbookViewId="0">
      <selection sqref="A1:I51"/>
    </sheetView>
  </sheetViews>
  <sheetFormatPr defaultRowHeight="16.5" x14ac:dyDescent="0.3"/>
  <cols>
    <col min="1" max="1" width="11" customWidth="1"/>
    <col min="2" max="2" width="16.25" customWidth="1"/>
    <col min="3" max="3" width="18.25" customWidth="1"/>
    <col min="4" max="4" width="13.625" customWidth="1"/>
    <col min="5" max="5" width="13.5" customWidth="1"/>
    <col min="6" max="6" width="14.5" customWidth="1"/>
    <col min="7" max="7" width="18.125" customWidth="1"/>
    <col min="8" max="8" width="10.25" customWidth="1"/>
    <col min="9" max="9" width="41.25" customWidth="1"/>
  </cols>
  <sheetData>
    <row r="1" spans="1:9" x14ac:dyDescent="0.3">
      <c r="A1" s="1434"/>
      <c r="B1" s="1434"/>
      <c r="C1" s="1434"/>
      <c r="D1" s="1434"/>
      <c r="E1" s="1434"/>
      <c r="F1" s="1434"/>
      <c r="G1" s="1434"/>
      <c r="H1" s="1434"/>
      <c r="I1" s="1434"/>
    </row>
    <row r="2" spans="1:9" ht="31.5" x14ac:dyDescent="0.3">
      <c r="A2" s="1358" t="s">
        <v>62</v>
      </c>
      <c r="B2" s="1358"/>
      <c r="C2" s="1358"/>
      <c r="D2" s="1358"/>
      <c r="E2" s="1358"/>
      <c r="F2" s="1358"/>
      <c r="G2" s="1358"/>
      <c r="H2" s="1358"/>
      <c r="I2" s="1358"/>
    </row>
    <row r="3" spans="1:9" ht="16.5" customHeight="1" x14ac:dyDescent="0.3">
      <c r="A3" s="1435" t="s">
        <v>604</v>
      </c>
      <c r="B3" s="1435"/>
      <c r="C3" s="1435"/>
      <c r="D3" s="1435"/>
      <c r="E3" s="1435"/>
      <c r="F3" s="1435"/>
      <c r="G3" s="1435"/>
      <c r="H3" s="1435"/>
      <c r="I3" s="1435"/>
    </row>
    <row r="4" spans="1:9" ht="16.5" customHeight="1" x14ac:dyDescent="0.3">
      <c r="A4" s="1435"/>
      <c r="B4" s="1435"/>
      <c r="C4" s="1435"/>
      <c r="D4" s="1435"/>
      <c r="E4" s="1435"/>
      <c r="F4" s="1435"/>
      <c r="G4" s="1435"/>
      <c r="H4" s="1435"/>
      <c r="I4" s="1435"/>
    </row>
    <row r="5" spans="1:9" ht="18" thickBot="1" x14ac:dyDescent="0.35">
      <c r="A5" s="1375" t="s">
        <v>714</v>
      </c>
      <c r="B5" s="1375"/>
      <c r="C5" s="1375"/>
      <c r="D5" s="1375"/>
      <c r="E5" s="1375"/>
      <c r="F5" s="1375"/>
      <c r="G5" s="1375"/>
      <c r="H5" s="1375"/>
      <c r="I5" s="1375"/>
    </row>
    <row r="6" spans="1:9" ht="19.149999999999999" customHeight="1" x14ac:dyDescent="0.3">
      <c r="A6" s="1436" t="s">
        <v>14</v>
      </c>
      <c r="B6" s="1377"/>
      <c r="C6" s="1377"/>
      <c r="D6" s="1273" t="s">
        <v>237</v>
      </c>
      <c r="E6" s="1273" t="s">
        <v>397</v>
      </c>
      <c r="F6" s="1273" t="s">
        <v>318</v>
      </c>
      <c r="G6" s="1273" t="s">
        <v>59</v>
      </c>
      <c r="H6" s="1328" t="s">
        <v>49</v>
      </c>
      <c r="I6" s="1332" t="s">
        <v>61</v>
      </c>
    </row>
    <row r="7" spans="1:9" ht="18" thickBot="1" x14ac:dyDescent="0.35">
      <c r="A7" s="62" t="s">
        <v>0</v>
      </c>
      <c r="B7" s="63" t="s">
        <v>1</v>
      </c>
      <c r="C7" s="63" t="s">
        <v>2</v>
      </c>
      <c r="D7" s="1274"/>
      <c r="E7" s="1274"/>
      <c r="F7" s="1274"/>
      <c r="G7" s="1274"/>
      <c r="H7" s="1329"/>
      <c r="I7" s="1333"/>
    </row>
    <row r="8" spans="1:9" x14ac:dyDescent="0.3">
      <c r="A8" s="1417" t="s">
        <v>505</v>
      </c>
      <c r="B8" s="330" t="s">
        <v>574</v>
      </c>
      <c r="C8" s="331" t="s">
        <v>508</v>
      </c>
      <c r="D8" s="271">
        <v>0</v>
      </c>
      <c r="E8" s="271">
        <v>0</v>
      </c>
      <c r="F8" s="272"/>
      <c r="G8" s="273"/>
      <c r="H8" s="291"/>
      <c r="I8" s="274"/>
    </row>
    <row r="9" spans="1:9" ht="17.25" thickBot="1" x14ac:dyDescent="0.35">
      <c r="A9" s="1418"/>
      <c r="B9" s="1419" t="s">
        <v>521</v>
      </c>
      <c r="C9" s="1420"/>
      <c r="D9" s="267">
        <f>SUM(D8)</f>
        <v>0</v>
      </c>
      <c r="E9" s="267"/>
      <c r="F9" s="268"/>
      <c r="G9" s="290"/>
      <c r="H9" s="767"/>
      <c r="I9" s="270"/>
    </row>
    <row r="10" spans="1:9" x14ac:dyDescent="0.3">
      <c r="A10" s="1360" t="s">
        <v>575</v>
      </c>
      <c r="B10" s="393" t="s">
        <v>576</v>
      </c>
      <c r="C10" s="394" t="s">
        <v>15</v>
      </c>
      <c r="D10" s="271"/>
      <c r="E10" s="271"/>
      <c r="F10" s="271"/>
      <c r="G10" s="271"/>
      <c r="H10" s="291"/>
      <c r="I10" s="274"/>
    </row>
    <row r="11" spans="1:9" ht="17.25" thickBot="1" x14ac:dyDescent="0.35">
      <c r="A11" s="1361"/>
      <c r="B11" s="1362" t="s">
        <v>577</v>
      </c>
      <c r="C11" s="1363"/>
      <c r="D11" s="275">
        <f>SUM(D9)</f>
        <v>0</v>
      </c>
      <c r="E11" s="275"/>
      <c r="F11" s="276"/>
      <c r="G11" s="269"/>
      <c r="H11" s="767"/>
      <c r="I11" s="277"/>
    </row>
    <row r="12" spans="1:9" x14ac:dyDescent="0.3">
      <c r="A12" s="1341" t="s">
        <v>515</v>
      </c>
      <c r="B12" s="1422" t="s">
        <v>516</v>
      </c>
      <c r="C12" s="394" t="s">
        <v>518</v>
      </c>
      <c r="D12" s="285">
        <v>0</v>
      </c>
      <c r="E12" s="285"/>
      <c r="F12" s="48"/>
      <c r="G12" s="286"/>
      <c r="H12" s="768"/>
      <c r="I12" s="279"/>
    </row>
    <row r="13" spans="1:9" x14ac:dyDescent="0.3">
      <c r="A13" s="1421"/>
      <c r="B13" s="1423"/>
      <c r="C13" s="199" t="s">
        <v>520</v>
      </c>
      <c r="D13" s="115">
        <v>300000</v>
      </c>
      <c r="E13" s="115">
        <v>0</v>
      </c>
      <c r="F13" s="45">
        <v>0</v>
      </c>
      <c r="G13" s="278">
        <f>F13-D13</f>
        <v>-300000</v>
      </c>
      <c r="H13" s="784">
        <f t="shared" ref="H13:H21" si="0">G13/D13*100%</f>
        <v>-1</v>
      </c>
      <c r="I13" s="280" t="s">
        <v>404</v>
      </c>
    </row>
    <row r="14" spans="1:9" ht="17.25" thickBot="1" x14ac:dyDescent="0.35">
      <c r="A14" s="1361"/>
      <c r="B14" s="1424" t="s">
        <v>521</v>
      </c>
      <c r="C14" s="1425"/>
      <c r="D14" s="419">
        <f>SUM(D12:D13)</f>
        <v>300000</v>
      </c>
      <c r="E14" s="419">
        <f t="shared" ref="E14:G14" si="1">SUM(E12:E13)</f>
        <v>0</v>
      </c>
      <c r="F14" s="419">
        <f t="shared" si="1"/>
        <v>0</v>
      </c>
      <c r="G14" s="948">
        <f t="shared" si="1"/>
        <v>-300000</v>
      </c>
      <c r="H14" s="397">
        <f t="shared" si="0"/>
        <v>-1</v>
      </c>
      <c r="I14" s="287"/>
    </row>
    <row r="15" spans="1:9" x14ac:dyDescent="0.3">
      <c r="A15" s="1339" t="s">
        <v>534</v>
      </c>
      <c r="B15" s="1213" t="s">
        <v>535</v>
      </c>
      <c r="C15" s="1213" t="s">
        <v>107</v>
      </c>
      <c r="D15" s="271">
        <v>7500000</v>
      </c>
      <c r="E15" s="285"/>
      <c r="F15" s="271">
        <v>7500000</v>
      </c>
      <c r="G15" s="273">
        <f t="shared" ref="G15:G23" si="2">F15-D15</f>
        <v>0</v>
      </c>
      <c r="H15" s="291">
        <f t="shared" si="0"/>
        <v>0</v>
      </c>
      <c r="I15" s="491"/>
    </row>
    <row r="16" spans="1:9" ht="17.25" thickBot="1" x14ac:dyDescent="0.35">
      <c r="A16" s="1335"/>
      <c r="B16" s="1348" t="s">
        <v>69</v>
      </c>
      <c r="C16" s="1349"/>
      <c r="D16" s="489">
        <f>SUM(D15)</f>
        <v>7500000</v>
      </c>
      <c r="E16" s="489">
        <f t="shared" ref="E16:G16" si="3">SUM(E15)</f>
        <v>0</v>
      </c>
      <c r="F16" s="489">
        <f t="shared" si="3"/>
        <v>7500000</v>
      </c>
      <c r="G16" s="489">
        <f t="shared" si="3"/>
        <v>0</v>
      </c>
      <c r="H16" s="397">
        <f t="shared" si="0"/>
        <v>0</v>
      </c>
      <c r="I16" s="485"/>
    </row>
    <row r="17" spans="1:9" x14ac:dyDescent="0.3">
      <c r="A17" s="1426" t="s">
        <v>578</v>
      </c>
      <c r="B17" s="1429" t="s">
        <v>579</v>
      </c>
      <c r="C17" s="482" t="s">
        <v>580</v>
      </c>
      <c r="D17" s="285">
        <v>900000</v>
      </c>
      <c r="E17" s="285">
        <v>0</v>
      </c>
      <c r="F17" s="285">
        <v>632161</v>
      </c>
      <c r="G17" s="286">
        <f t="shared" si="2"/>
        <v>-267839</v>
      </c>
      <c r="H17" s="768">
        <f t="shared" si="0"/>
        <v>-0.29759888888888891</v>
      </c>
      <c r="I17" s="279" t="s">
        <v>405</v>
      </c>
    </row>
    <row r="18" spans="1:9" ht="33" x14ac:dyDescent="0.3">
      <c r="A18" s="1427"/>
      <c r="B18" s="1430"/>
      <c r="C18" s="395" t="s">
        <v>581</v>
      </c>
      <c r="D18" s="115">
        <v>0</v>
      </c>
      <c r="E18" s="115">
        <v>0</v>
      </c>
      <c r="F18" s="45">
        <v>295780</v>
      </c>
      <c r="G18" s="278">
        <f t="shared" si="2"/>
        <v>295780</v>
      </c>
      <c r="H18" s="784" t="e">
        <f t="shared" si="0"/>
        <v>#DIV/0!</v>
      </c>
      <c r="I18" s="280" t="s">
        <v>406</v>
      </c>
    </row>
    <row r="19" spans="1:9" ht="17.25" thickBot="1" x14ac:dyDescent="0.35">
      <c r="A19" s="1428"/>
      <c r="B19" s="1431" t="s">
        <v>582</v>
      </c>
      <c r="C19" s="1431"/>
      <c r="D19" s="418">
        <f>SUM(D17:D18)</f>
        <v>900000</v>
      </c>
      <c r="E19" s="418">
        <f t="shared" ref="E19:G19" si="4">SUM(E17:E18)</f>
        <v>0</v>
      </c>
      <c r="F19" s="418">
        <f t="shared" si="4"/>
        <v>927941</v>
      </c>
      <c r="G19" s="418">
        <f t="shared" si="4"/>
        <v>27941</v>
      </c>
      <c r="H19" s="767">
        <f t="shared" si="0"/>
        <v>3.1045555555555555E-2</v>
      </c>
      <c r="I19" s="281"/>
    </row>
    <row r="20" spans="1:9" ht="33" x14ac:dyDescent="0.3">
      <c r="A20" s="1339" t="s">
        <v>584</v>
      </c>
      <c r="B20" s="1338" t="s">
        <v>585</v>
      </c>
      <c r="C20" s="1212" t="s">
        <v>586</v>
      </c>
      <c r="D20" s="118">
        <v>0</v>
      </c>
      <c r="E20" s="118">
        <v>633</v>
      </c>
      <c r="F20" s="118">
        <v>2000</v>
      </c>
      <c r="G20" s="282">
        <f t="shared" si="2"/>
        <v>2000</v>
      </c>
      <c r="H20" s="288" t="e">
        <f t="shared" si="0"/>
        <v>#DIV/0!</v>
      </c>
      <c r="I20" s="121" t="s">
        <v>583</v>
      </c>
    </row>
    <row r="21" spans="1:9" x14ac:dyDescent="0.3">
      <c r="A21" s="1334"/>
      <c r="B21" s="1347"/>
      <c r="C21" s="1214" t="s">
        <v>587</v>
      </c>
      <c r="D21" s="115">
        <v>1500000</v>
      </c>
      <c r="E21" s="115">
        <v>1358280</v>
      </c>
      <c r="F21" s="115">
        <v>1370059</v>
      </c>
      <c r="G21" s="278">
        <f t="shared" si="2"/>
        <v>-129941</v>
      </c>
      <c r="H21" s="784">
        <f t="shared" si="0"/>
        <v>-8.6627333333333334E-2</v>
      </c>
      <c r="I21" s="280" t="s">
        <v>407</v>
      </c>
    </row>
    <row r="22" spans="1:9" ht="17.25" thickBot="1" x14ac:dyDescent="0.35">
      <c r="A22" s="1426"/>
      <c r="B22" s="1348" t="s">
        <v>12</v>
      </c>
      <c r="C22" s="1413"/>
      <c r="D22" s="769">
        <f>SUM(D20:D21)</f>
        <v>1500000</v>
      </c>
      <c r="E22" s="769">
        <f>SUM(E20:E21)</f>
        <v>1358913</v>
      </c>
      <c r="F22" s="769">
        <f>SUM(F20:F21)</f>
        <v>1372059</v>
      </c>
      <c r="G22" s="1205">
        <f>SUM(G20:G21)</f>
        <v>-127941</v>
      </c>
      <c r="H22" s="767">
        <f t="shared" ref="H22" si="5">G22/D22*100%</f>
        <v>-8.5293999999999995E-2</v>
      </c>
      <c r="I22" s="123"/>
    </row>
    <row r="23" spans="1:9" ht="17.25" thickBot="1" x14ac:dyDescent="0.35">
      <c r="A23" s="1450" t="s">
        <v>16</v>
      </c>
      <c r="B23" s="1414"/>
      <c r="C23" s="1451"/>
      <c r="D23" s="448">
        <f>SUM(D9+D11+D14+D16+D19+D22)</f>
        <v>10200000</v>
      </c>
      <c r="E23" s="448">
        <f>SUM(E9,E11,E14,E19,E22)</f>
        <v>1358913</v>
      </c>
      <c r="F23" s="448">
        <f>SUM(F22,F19,F16,F14)</f>
        <v>9800000</v>
      </c>
      <c r="G23" s="446">
        <f t="shared" si="2"/>
        <v>-400000</v>
      </c>
      <c r="H23" s="770">
        <f>G23/D23*100%</f>
        <v>-3.9215686274509803E-2</v>
      </c>
      <c r="I23" s="61"/>
    </row>
    <row r="24" spans="1:9" ht="21" thickBot="1" x14ac:dyDescent="0.35">
      <c r="A24" s="1444" t="s">
        <v>740</v>
      </c>
      <c r="B24" s="1445"/>
      <c r="C24" s="1445"/>
      <c r="D24" s="1445"/>
      <c r="E24" s="1445"/>
      <c r="F24" s="1445"/>
      <c r="G24" s="1445"/>
      <c r="H24" s="1445"/>
      <c r="I24" s="1445"/>
    </row>
    <row r="25" spans="1:9" ht="17.45" customHeight="1" x14ac:dyDescent="0.3">
      <c r="A25" s="1330" t="s">
        <v>14</v>
      </c>
      <c r="B25" s="1331"/>
      <c r="C25" s="1331"/>
      <c r="D25" s="1273" t="s">
        <v>237</v>
      </c>
      <c r="E25" s="1273" t="s">
        <v>395</v>
      </c>
      <c r="F25" s="1273" t="s">
        <v>318</v>
      </c>
      <c r="G25" s="1273" t="s">
        <v>59</v>
      </c>
      <c r="H25" s="1328" t="s">
        <v>49</v>
      </c>
      <c r="I25" s="1332" t="s">
        <v>130</v>
      </c>
    </row>
    <row r="26" spans="1:9" ht="18" customHeight="1" thickBot="1" x14ac:dyDescent="0.35">
      <c r="A26" s="317" t="s">
        <v>0</v>
      </c>
      <c r="B26" s="318" t="s">
        <v>1</v>
      </c>
      <c r="C26" s="318" t="s">
        <v>2</v>
      </c>
      <c r="D26" s="1274"/>
      <c r="E26" s="1274"/>
      <c r="F26" s="1274"/>
      <c r="G26" s="1274"/>
      <c r="H26" s="1329"/>
      <c r="I26" s="1333"/>
    </row>
    <row r="27" spans="1:9" x14ac:dyDescent="0.3">
      <c r="A27" s="1334" t="s">
        <v>537</v>
      </c>
      <c r="B27" s="1336" t="s">
        <v>588</v>
      </c>
      <c r="C27" s="198" t="s">
        <v>539</v>
      </c>
      <c r="D27" s="886"/>
      <c r="E27" s="886"/>
      <c r="F27" s="253"/>
      <c r="G27" s="253"/>
      <c r="H27" s="254"/>
      <c r="I27" s="1224"/>
    </row>
    <row r="28" spans="1:9" ht="33" x14ac:dyDescent="0.3">
      <c r="A28" s="1334"/>
      <c r="B28" s="1336"/>
      <c r="C28" s="199" t="s">
        <v>541</v>
      </c>
      <c r="D28" s="204"/>
      <c r="E28" s="204"/>
      <c r="F28" s="255"/>
      <c r="G28" s="255"/>
      <c r="H28" s="56"/>
      <c r="I28" s="1219"/>
    </row>
    <row r="29" spans="1:9" x14ac:dyDescent="0.3">
      <c r="A29" s="1334"/>
      <c r="B29" s="1336"/>
      <c r="C29" s="199" t="s">
        <v>543</v>
      </c>
      <c r="D29" s="204"/>
      <c r="E29" s="204"/>
      <c r="F29" s="255"/>
      <c r="G29" s="255"/>
      <c r="H29" s="56"/>
      <c r="I29" s="1220"/>
    </row>
    <row r="30" spans="1:9" x14ac:dyDescent="0.3">
      <c r="A30" s="1334"/>
      <c r="B30" s="1336"/>
      <c r="C30" s="199" t="s">
        <v>545</v>
      </c>
      <c r="D30" s="204"/>
      <c r="E30" s="204"/>
      <c r="F30" s="45"/>
      <c r="G30" s="255"/>
      <c r="H30" s="56"/>
      <c r="I30" s="1221"/>
    </row>
    <row r="31" spans="1:9" ht="17.25" thickBot="1" x14ac:dyDescent="0.35">
      <c r="A31" s="1334"/>
      <c r="B31" s="1337"/>
      <c r="C31" s="939" t="s">
        <v>725</v>
      </c>
      <c r="D31" s="246"/>
      <c r="E31" s="246"/>
      <c r="F31" s="246"/>
      <c r="G31" s="256"/>
      <c r="H31" s="765"/>
      <c r="I31" s="257"/>
    </row>
    <row r="32" spans="1:9" x14ac:dyDescent="0.3">
      <c r="A32" s="1334"/>
      <c r="B32" s="1338" t="s">
        <v>589</v>
      </c>
      <c r="C32" s="200" t="s">
        <v>547</v>
      </c>
      <c r="D32" s="258"/>
      <c r="E32" s="259"/>
      <c r="F32" s="47"/>
      <c r="G32" s="47">
        <f t="shared" ref="G32:G49" si="6">F32-D32</f>
        <v>0</v>
      </c>
      <c r="H32" s="254"/>
      <c r="I32" s="1222"/>
    </row>
    <row r="33" spans="1:9" x14ac:dyDescent="0.3">
      <c r="A33" s="1334"/>
      <c r="B33" s="1336"/>
      <c r="C33" s="199" t="s">
        <v>590</v>
      </c>
      <c r="D33" s="771">
        <v>200000</v>
      </c>
      <c r="E33" s="772">
        <v>19500</v>
      </c>
      <c r="F33" s="771">
        <v>100000</v>
      </c>
      <c r="G33" s="255">
        <f t="shared" si="6"/>
        <v>-100000</v>
      </c>
      <c r="H33" s="56">
        <f t="shared" ref="H33:H50" si="7">G33/D33*100%</f>
        <v>-0.5</v>
      </c>
      <c r="I33" s="1220"/>
    </row>
    <row r="34" spans="1:9" ht="17.25" thickBot="1" x14ac:dyDescent="0.35">
      <c r="A34" s="1334"/>
      <c r="B34" s="1337"/>
      <c r="C34" s="939" t="s">
        <v>725</v>
      </c>
      <c r="D34" s="773">
        <f>SUM(D32:D33)</f>
        <v>200000</v>
      </c>
      <c r="E34" s="773">
        <f t="shared" ref="E34:F34" si="8">SUM(E32:E33)</f>
        <v>19500</v>
      </c>
      <c r="F34" s="773">
        <f t="shared" si="8"/>
        <v>100000</v>
      </c>
      <c r="G34" s="557">
        <f t="shared" si="6"/>
        <v>-100000</v>
      </c>
      <c r="H34" s="777">
        <f t="shared" si="7"/>
        <v>-0.5</v>
      </c>
      <c r="I34" s="60"/>
    </row>
    <row r="35" spans="1:9" x14ac:dyDescent="0.3">
      <c r="A35" s="1334"/>
      <c r="B35" s="1338" t="s">
        <v>549</v>
      </c>
      <c r="C35" s="200" t="s">
        <v>551</v>
      </c>
      <c r="D35" s="258"/>
      <c r="E35" s="259"/>
      <c r="F35" s="48"/>
      <c r="G35" s="47"/>
      <c r="H35" s="260"/>
      <c r="I35" s="1225"/>
    </row>
    <row r="36" spans="1:9" x14ac:dyDescent="0.3">
      <c r="A36" s="1334"/>
      <c r="B36" s="1336"/>
      <c r="C36" s="199" t="s">
        <v>553</v>
      </c>
      <c r="D36" s="247"/>
      <c r="E36" s="248"/>
      <c r="F36" s="45"/>
      <c r="G36" s="255"/>
      <c r="H36" s="56"/>
      <c r="I36" s="1220"/>
    </row>
    <row r="37" spans="1:9" x14ac:dyDescent="0.3">
      <c r="A37" s="1334"/>
      <c r="B37" s="1336"/>
      <c r="C37" s="199" t="s">
        <v>591</v>
      </c>
      <c r="D37" s="771"/>
      <c r="E37" s="772">
        <v>5400</v>
      </c>
      <c r="F37" s="45">
        <v>10000</v>
      </c>
      <c r="G37" s="255">
        <f t="shared" si="6"/>
        <v>10000</v>
      </c>
      <c r="H37" s="56" t="e">
        <f t="shared" si="7"/>
        <v>#DIV/0!</v>
      </c>
      <c r="I37" s="1220"/>
    </row>
    <row r="38" spans="1:9" ht="33" x14ac:dyDescent="0.3">
      <c r="A38" s="1334"/>
      <c r="B38" s="1336"/>
      <c r="C38" s="199" t="s">
        <v>556</v>
      </c>
      <c r="D38" s="771"/>
      <c r="E38" s="772">
        <v>1217300</v>
      </c>
      <c r="F38" s="45">
        <v>1300000</v>
      </c>
      <c r="G38" s="255">
        <f t="shared" si="6"/>
        <v>1300000</v>
      </c>
      <c r="H38" s="56" t="e">
        <f t="shared" si="7"/>
        <v>#DIV/0!</v>
      </c>
      <c r="I38" s="1220" t="s">
        <v>428</v>
      </c>
    </row>
    <row r="39" spans="1:9" x14ac:dyDescent="0.3">
      <c r="A39" s="1334"/>
      <c r="B39" s="1336"/>
      <c r="C39" s="199" t="s">
        <v>557</v>
      </c>
      <c r="D39" s="771">
        <v>250000</v>
      </c>
      <c r="E39" s="772"/>
      <c r="F39" s="771">
        <v>0</v>
      </c>
      <c r="G39" s="255">
        <f t="shared" si="6"/>
        <v>-250000</v>
      </c>
      <c r="H39" s="56">
        <f t="shared" si="7"/>
        <v>-1</v>
      </c>
      <c r="I39" s="1223"/>
    </row>
    <row r="40" spans="1:9" ht="17.25" thickBot="1" x14ac:dyDescent="0.35">
      <c r="A40" s="1334"/>
      <c r="B40" s="1337"/>
      <c r="C40" s="939" t="s">
        <v>725</v>
      </c>
      <c r="D40" s="773">
        <f>SUM(D35:D39)</f>
        <v>250000</v>
      </c>
      <c r="E40" s="773">
        <f t="shared" ref="E40:F40" si="9">SUM(E35:E39)</f>
        <v>1222700</v>
      </c>
      <c r="F40" s="773">
        <f t="shared" si="9"/>
        <v>1310000</v>
      </c>
      <c r="G40" s="557">
        <f t="shared" si="6"/>
        <v>1060000</v>
      </c>
      <c r="H40" s="831">
        <f t="shared" si="7"/>
        <v>4.24</v>
      </c>
      <c r="I40" s="60"/>
    </row>
    <row r="41" spans="1:9" ht="17.25" thickBot="1" x14ac:dyDescent="0.35">
      <c r="A41" s="1335"/>
      <c r="B41" s="1355" t="s">
        <v>510</v>
      </c>
      <c r="C41" s="1356"/>
      <c r="D41" s="1217">
        <f>SUM(D40,D34,D31)</f>
        <v>450000</v>
      </c>
      <c r="E41" s="1217">
        <f t="shared" ref="E41:F41" si="10">SUM(E40,E34,E31)</f>
        <v>1242200</v>
      </c>
      <c r="F41" s="1217">
        <f t="shared" si="10"/>
        <v>1410000</v>
      </c>
      <c r="G41" s="560">
        <f t="shared" si="6"/>
        <v>960000</v>
      </c>
      <c r="H41" s="558">
        <f t="shared" si="7"/>
        <v>2.1333333333333333</v>
      </c>
      <c r="I41" s="561"/>
    </row>
    <row r="42" spans="1:9" ht="23.25" customHeight="1" x14ac:dyDescent="0.3">
      <c r="A42" s="1339" t="s">
        <v>592</v>
      </c>
      <c r="B42" s="1338" t="s">
        <v>559</v>
      </c>
      <c r="C42" s="200" t="s">
        <v>593</v>
      </c>
      <c r="D42" s="774">
        <v>9000000</v>
      </c>
      <c r="E42" s="259"/>
      <c r="F42" s="774">
        <v>7500000</v>
      </c>
      <c r="G42" s="47">
        <f t="shared" si="6"/>
        <v>-1500000</v>
      </c>
      <c r="H42" s="254">
        <f t="shared" si="7"/>
        <v>-0.16666666666666666</v>
      </c>
      <c r="I42" s="1222" t="s">
        <v>423</v>
      </c>
    </row>
    <row r="43" spans="1:9" ht="23.25" customHeight="1" x14ac:dyDescent="0.3">
      <c r="A43" s="1334"/>
      <c r="B43" s="1347"/>
      <c r="C43" s="199" t="s">
        <v>562</v>
      </c>
      <c r="D43" s="771"/>
      <c r="E43" s="251"/>
      <c r="F43" s="771"/>
      <c r="G43" s="255"/>
      <c r="H43" s="56"/>
      <c r="I43" s="1220"/>
    </row>
    <row r="44" spans="1:9" ht="17.25" thickBot="1" x14ac:dyDescent="0.35">
      <c r="A44" s="1335"/>
      <c r="B44" s="1348" t="s">
        <v>510</v>
      </c>
      <c r="C44" s="1349"/>
      <c r="D44" s="775">
        <f>SUM(D42:D43)</f>
        <v>9000000</v>
      </c>
      <c r="E44" s="775">
        <f t="shared" ref="E44:F44" si="11">SUM(E42:E43)</f>
        <v>0</v>
      </c>
      <c r="F44" s="775">
        <f t="shared" si="11"/>
        <v>7500000</v>
      </c>
      <c r="G44" s="557">
        <f t="shared" si="6"/>
        <v>-1500000</v>
      </c>
      <c r="H44" s="777">
        <f t="shared" si="7"/>
        <v>-0.16666666666666666</v>
      </c>
      <c r="I44" s="257"/>
    </row>
    <row r="45" spans="1:9" x14ac:dyDescent="0.3">
      <c r="A45" s="1339" t="s">
        <v>597</v>
      </c>
      <c r="B45" s="200" t="s">
        <v>565</v>
      </c>
      <c r="C45" s="200" t="s">
        <v>598</v>
      </c>
      <c r="D45" s="776">
        <v>750000</v>
      </c>
      <c r="E45" s="265"/>
      <c r="F45" s="776">
        <v>890000</v>
      </c>
      <c r="G45" s="47">
        <f t="shared" si="6"/>
        <v>140000</v>
      </c>
      <c r="H45" s="260">
        <f t="shared" si="7"/>
        <v>0.18666666666666668</v>
      </c>
      <c r="I45" s="830"/>
    </row>
    <row r="46" spans="1:9" ht="17.25" thickBot="1" x14ac:dyDescent="0.35">
      <c r="A46" s="1335"/>
      <c r="B46" s="1348" t="s">
        <v>510</v>
      </c>
      <c r="C46" s="1349"/>
      <c r="D46" s="773">
        <f>SUM(D45)</f>
        <v>750000</v>
      </c>
      <c r="E46" s="773">
        <f t="shared" ref="E46:F46" si="12">SUM(E45)</f>
        <v>0</v>
      </c>
      <c r="F46" s="773">
        <f t="shared" si="12"/>
        <v>890000</v>
      </c>
      <c r="G46" s="256">
        <f t="shared" si="6"/>
        <v>140000</v>
      </c>
      <c r="H46" s="831">
        <f t="shared" si="7"/>
        <v>0.18666666666666668</v>
      </c>
      <c r="I46" s="257"/>
    </row>
    <row r="47" spans="1:9" ht="16.899999999999999" customHeight="1" x14ac:dyDescent="0.3">
      <c r="A47" s="1339" t="s">
        <v>599</v>
      </c>
      <c r="B47" s="200" t="s">
        <v>568</v>
      </c>
      <c r="C47" s="200" t="s">
        <v>600</v>
      </c>
      <c r="D47" s="46"/>
      <c r="E47" s="46"/>
      <c r="F47" s="48">
        <v>0</v>
      </c>
      <c r="G47" s="47">
        <f t="shared" si="6"/>
        <v>0</v>
      </c>
      <c r="H47" s="260" t="e">
        <f t="shared" si="7"/>
        <v>#DIV/0!</v>
      </c>
      <c r="I47" s="49"/>
    </row>
    <row r="48" spans="1:9" ht="17.25" thickBot="1" x14ac:dyDescent="0.35">
      <c r="A48" s="1335"/>
      <c r="B48" s="1432" t="s">
        <v>582</v>
      </c>
      <c r="C48" s="1433"/>
      <c r="D48" s="59">
        <f>D47</f>
        <v>0</v>
      </c>
      <c r="E48" s="59">
        <f t="shared" ref="E48:F48" si="13">E47</f>
        <v>0</v>
      </c>
      <c r="F48" s="59">
        <f t="shared" si="13"/>
        <v>0</v>
      </c>
      <c r="G48" s="256">
        <f t="shared" si="6"/>
        <v>0</v>
      </c>
      <c r="H48" s="831" t="e">
        <f t="shared" si="7"/>
        <v>#DIV/0!</v>
      </c>
      <c r="I48" s="60"/>
    </row>
    <row r="49" spans="1:9" x14ac:dyDescent="0.3">
      <c r="A49" s="1334" t="s">
        <v>601</v>
      </c>
      <c r="B49" s="262" t="s">
        <v>27</v>
      </c>
      <c r="C49" s="262" t="s">
        <v>603</v>
      </c>
      <c r="D49" s="46"/>
      <c r="E49" s="832"/>
      <c r="F49" s="48">
        <v>0</v>
      </c>
      <c r="G49" s="47">
        <f t="shared" si="6"/>
        <v>0</v>
      </c>
      <c r="H49" s="260" t="e">
        <f t="shared" si="7"/>
        <v>#DIV/0!</v>
      </c>
      <c r="I49" s="49"/>
    </row>
    <row r="50" spans="1:9" ht="17.25" thickBot="1" x14ac:dyDescent="0.35">
      <c r="A50" s="1335"/>
      <c r="B50" s="1432" t="s">
        <v>602</v>
      </c>
      <c r="C50" s="1433"/>
      <c r="D50" s="59">
        <f>D49</f>
        <v>0</v>
      </c>
      <c r="E50" s="59">
        <f t="shared" ref="E50:G50" si="14">E49</f>
        <v>0</v>
      </c>
      <c r="F50" s="59">
        <v>0</v>
      </c>
      <c r="G50" s="59">
        <f t="shared" si="14"/>
        <v>0</v>
      </c>
      <c r="H50" s="831" t="e">
        <f t="shared" si="7"/>
        <v>#DIV/0!</v>
      </c>
      <c r="I50" s="60"/>
    </row>
    <row r="51" spans="1:9" ht="17.25" thickBot="1" x14ac:dyDescent="0.35">
      <c r="A51" s="1442" t="s">
        <v>16</v>
      </c>
      <c r="B51" s="1443"/>
      <c r="C51" s="1443"/>
      <c r="D51" s="129">
        <f>SUM(D41,,D44,D46,D48,D50)</f>
        <v>10200000</v>
      </c>
      <c r="E51" s="129">
        <f t="shared" ref="E51:F51" si="15">SUM(E41,,E44,E46,E48,E50)</f>
        <v>1242200</v>
      </c>
      <c r="F51" s="129">
        <f t="shared" si="15"/>
        <v>9800000</v>
      </c>
      <c r="G51" s="127">
        <f>F51-D51</f>
        <v>-400000</v>
      </c>
      <c r="H51" s="437">
        <f>G51/D51*100%</f>
        <v>-3.9215686274509803E-2</v>
      </c>
      <c r="I51" s="128"/>
    </row>
  </sheetData>
  <mergeCells count="50">
    <mergeCell ref="A8:A9"/>
    <mergeCell ref="B9:C9"/>
    <mergeCell ref="A1:I1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10:A11"/>
    <mergeCell ref="B11:C11"/>
    <mergeCell ref="A17:A19"/>
    <mergeCell ref="B17:B18"/>
    <mergeCell ref="B19:C19"/>
    <mergeCell ref="A12:A14"/>
    <mergeCell ref="B12:B13"/>
    <mergeCell ref="B14:C14"/>
    <mergeCell ref="A15:A16"/>
    <mergeCell ref="B16:C16"/>
    <mergeCell ref="A20:A22"/>
    <mergeCell ref="B20:B21"/>
    <mergeCell ref="B22:C22"/>
    <mergeCell ref="A23:C23"/>
    <mergeCell ref="A24:I24"/>
    <mergeCell ref="H25:H26"/>
    <mergeCell ref="I25:I26"/>
    <mergeCell ref="A27:A41"/>
    <mergeCell ref="B27:B31"/>
    <mergeCell ref="B32:B34"/>
    <mergeCell ref="B35:B40"/>
    <mergeCell ref="B41:C41"/>
    <mergeCell ref="A25:C25"/>
    <mergeCell ref="D25:D26"/>
    <mergeCell ref="E25:E26"/>
    <mergeCell ref="F25:F26"/>
    <mergeCell ref="G25:G26"/>
    <mergeCell ref="A49:A50"/>
    <mergeCell ref="A51:C51"/>
    <mergeCell ref="A42:A44"/>
    <mergeCell ref="B42:B43"/>
    <mergeCell ref="B44:C44"/>
    <mergeCell ref="A45:A46"/>
    <mergeCell ref="B46:C46"/>
    <mergeCell ref="A47:A48"/>
    <mergeCell ref="B48:C48"/>
    <mergeCell ref="B50:C50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opLeftCell="A13" zoomScale="85" zoomScaleNormal="85" workbookViewId="0">
      <selection activeCell="K19" sqref="K19"/>
    </sheetView>
  </sheetViews>
  <sheetFormatPr defaultRowHeight="16.5" x14ac:dyDescent="0.3"/>
  <cols>
    <col min="1" max="1" width="11.75" customWidth="1"/>
    <col min="2" max="2" width="17" customWidth="1"/>
    <col min="3" max="3" width="17.25" customWidth="1"/>
    <col min="4" max="4" width="17.875" customWidth="1"/>
    <col min="5" max="5" width="20.25" customWidth="1"/>
    <col min="6" max="6" width="20.375" customWidth="1"/>
    <col min="7" max="7" width="18.875" customWidth="1"/>
    <col min="9" max="9" width="40" customWidth="1"/>
  </cols>
  <sheetData>
    <row r="1" spans="1:9" x14ac:dyDescent="0.3">
      <c r="A1" s="1434"/>
      <c r="B1" s="1434"/>
      <c r="C1" s="1434"/>
      <c r="D1" s="1434"/>
      <c r="E1" s="1434"/>
      <c r="F1" s="1434"/>
      <c r="G1" s="1434"/>
      <c r="H1" s="1434"/>
      <c r="I1" s="1434"/>
    </row>
    <row r="2" spans="1:9" ht="41.45" customHeight="1" x14ac:dyDescent="0.3">
      <c r="A2" s="1358" t="s">
        <v>199</v>
      </c>
      <c r="B2" s="1358"/>
      <c r="C2" s="1358"/>
      <c r="D2" s="1358"/>
      <c r="E2" s="1358"/>
      <c r="F2" s="1358"/>
      <c r="G2" s="1358"/>
      <c r="H2" s="1358"/>
      <c r="I2" s="1358"/>
    </row>
    <row r="3" spans="1:9" x14ac:dyDescent="0.3">
      <c r="A3" s="1435" t="s">
        <v>408</v>
      </c>
      <c r="B3" s="1435"/>
      <c r="C3" s="1435"/>
      <c r="D3" s="1435"/>
      <c r="E3" s="1435"/>
      <c r="F3" s="1435"/>
      <c r="G3" s="1435"/>
      <c r="H3" s="1435"/>
      <c r="I3" s="1435"/>
    </row>
    <row r="4" spans="1:9" x14ac:dyDescent="0.3">
      <c r="A4" s="1435"/>
      <c r="B4" s="1435"/>
      <c r="C4" s="1435"/>
      <c r="D4" s="1435"/>
      <c r="E4" s="1435"/>
      <c r="F4" s="1435"/>
      <c r="G4" s="1435"/>
      <c r="H4" s="1435"/>
      <c r="I4" s="1435"/>
    </row>
    <row r="5" spans="1:9" ht="18" thickBot="1" x14ac:dyDescent="0.35">
      <c r="A5" s="1375" t="s">
        <v>715</v>
      </c>
      <c r="B5" s="1375"/>
      <c r="C5" s="1375"/>
      <c r="D5" s="1375"/>
      <c r="E5" s="1375"/>
      <c r="F5" s="1375"/>
      <c r="G5" s="1375"/>
      <c r="H5" s="1375"/>
      <c r="I5" s="1375"/>
    </row>
    <row r="6" spans="1:9" ht="19.149999999999999" customHeight="1" x14ac:dyDescent="0.3">
      <c r="A6" s="1436" t="s">
        <v>14</v>
      </c>
      <c r="B6" s="1377"/>
      <c r="C6" s="1377"/>
      <c r="D6" s="1273" t="s">
        <v>237</v>
      </c>
      <c r="E6" s="1273" t="s">
        <v>403</v>
      </c>
      <c r="F6" s="1273" t="s">
        <v>236</v>
      </c>
      <c r="G6" s="1273" t="s">
        <v>59</v>
      </c>
      <c r="H6" s="1328" t="s">
        <v>49</v>
      </c>
      <c r="I6" s="1332" t="s">
        <v>61</v>
      </c>
    </row>
    <row r="7" spans="1:9" ht="18" thickBot="1" x14ac:dyDescent="0.35">
      <c r="A7" s="62" t="s">
        <v>0</v>
      </c>
      <c r="B7" s="63" t="s">
        <v>1</v>
      </c>
      <c r="C7" s="63" t="s">
        <v>2</v>
      </c>
      <c r="D7" s="1274"/>
      <c r="E7" s="1274"/>
      <c r="F7" s="1274"/>
      <c r="G7" s="1274"/>
      <c r="H7" s="1329"/>
      <c r="I7" s="1333"/>
    </row>
    <row r="8" spans="1:9" x14ac:dyDescent="0.3">
      <c r="A8" s="1417" t="s">
        <v>506</v>
      </c>
      <c r="B8" s="330" t="s">
        <v>507</v>
      </c>
      <c r="C8" s="331" t="s">
        <v>509</v>
      </c>
      <c r="D8" s="271"/>
      <c r="E8" s="271"/>
      <c r="F8" s="272"/>
      <c r="G8" s="273">
        <f>F8-D8</f>
        <v>0</v>
      </c>
      <c r="H8" s="291"/>
      <c r="I8" s="274"/>
    </row>
    <row r="9" spans="1:9" ht="17.25" thickBot="1" x14ac:dyDescent="0.35">
      <c r="A9" s="1418"/>
      <c r="B9" s="1419" t="s">
        <v>511</v>
      </c>
      <c r="C9" s="1420"/>
      <c r="D9" s="267"/>
      <c r="E9" s="267"/>
      <c r="F9" s="268"/>
      <c r="G9" s="290">
        <f>F9-D9</f>
        <v>0</v>
      </c>
      <c r="H9" s="767"/>
      <c r="I9" s="270"/>
    </row>
    <row r="10" spans="1:9" x14ac:dyDescent="0.3">
      <c r="A10" s="1360" t="s">
        <v>512</v>
      </c>
      <c r="B10" s="393" t="s">
        <v>513</v>
      </c>
      <c r="C10" s="394" t="s">
        <v>15</v>
      </c>
      <c r="D10" s="271"/>
      <c r="E10" s="271"/>
      <c r="F10" s="272"/>
      <c r="G10" s="273">
        <f>F10-D10</f>
        <v>0</v>
      </c>
      <c r="H10" s="291"/>
      <c r="I10" s="274"/>
    </row>
    <row r="11" spans="1:9" ht="17.25" thickBot="1" x14ac:dyDescent="0.35">
      <c r="A11" s="1361"/>
      <c r="B11" s="1362" t="s">
        <v>510</v>
      </c>
      <c r="C11" s="1363"/>
      <c r="D11" s="275"/>
      <c r="E11" s="275"/>
      <c r="F11" s="276"/>
      <c r="G11" s="269">
        <f t="shared" ref="G11:G23" si="0">F11-D11</f>
        <v>0</v>
      </c>
      <c r="H11" s="785"/>
      <c r="I11" s="277"/>
    </row>
    <row r="12" spans="1:9" x14ac:dyDescent="0.3">
      <c r="A12" s="1341" t="s">
        <v>515</v>
      </c>
      <c r="B12" s="1422" t="s">
        <v>517</v>
      </c>
      <c r="C12" s="394" t="s">
        <v>518</v>
      </c>
      <c r="D12" s="285"/>
      <c r="E12" s="285"/>
      <c r="F12" s="48"/>
      <c r="G12" s="286">
        <f t="shared" si="0"/>
        <v>0</v>
      </c>
      <c r="H12" s="768"/>
      <c r="I12" s="279"/>
    </row>
    <row r="13" spans="1:9" x14ac:dyDescent="0.3">
      <c r="A13" s="1421"/>
      <c r="B13" s="1423"/>
      <c r="C13" s="199" t="s">
        <v>520</v>
      </c>
      <c r="D13" s="778">
        <v>17500000</v>
      </c>
      <c r="E13" s="115">
        <v>19770204</v>
      </c>
      <c r="F13" s="778">
        <v>19770204</v>
      </c>
      <c r="G13" s="278">
        <f t="shared" si="0"/>
        <v>2270204</v>
      </c>
      <c r="H13" s="784">
        <f t="shared" ref="H13" si="1">G13/D13*100%</f>
        <v>0.12972594285714287</v>
      </c>
      <c r="I13" s="280" t="s">
        <v>444</v>
      </c>
    </row>
    <row r="14" spans="1:9" ht="17.25" thickBot="1" x14ac:dyDescent="0.35">
      <c r="A14" s="1361"/>
      <c r="B14" s="1424" t="s">
        <v>521</v>
      </c>
      <c r="C14" s="1425"/>
      <c r="D14" s="779">
        <f>SUM(D12:D13)</f>
        <v>17500000</v>
      </c>
      <c r="E14" s="419">
        <f>SUM(E12:E13)</f>
        <v>19770204</v>
      </c>
      <c r="F14" s="779">
        <f>SUM(F12:F13)</f>
        <v>19770204</v>
      </c>
      <c r="G14" s="269">
        <f t="shared" si="0"/>
        <v>2270204</v>
      </c>
      <c r="H14" s="767">
        <f t="shared" ref="H14:H23" si="2">G14/D14*100%</f>
        <v>0.12972594285714287</v>
      </c>
      <c r="I14" s="287"/>
    </row>
    <row r="15" spans="1:9" x14ac:dyDescent="0.3">
      <c r="A15" s="1339" t="s">
        <v>534</v>
      </c>
      <c r="B15" s="1213" t="s">
        <v>535</v>
      </c>
      <c r="C15" s="1213" t="s">
        <v>331</v>
      </c>
      <c r="D15" s="780">
        <v>10913400</v>
      </c>
      <c r="E15" s="285"/>
      <c r="F15" s="780">
        <v>10913400</v>
      </c>
      <c r="G15" s="493">
        <f t="shared" si="0"/>
        <v>0</v>
      </c>
      <c r="H15" s="291">
        <f t="shared" si="2"/>
        <v>0</v>
      </c>
      <c r="I15" s="491"/>
    </row>
    <row r="16" spans="1:9" ht="17.25" thickBot="1" x14ac:dyDescent="0.35">
      <c r="A16" s="1335"/>
      <c r="B16" s="1348" t="s">
        <v>332</v>
      </c>
      <c r="C16" s="1349"/>
      <c r="D16" s="781">
        <f>SUM(D15)</f>
        <v>10913400</v>
      </c>
      <c r="E16" s="119"/>
      <c r="F16" s="781">
        <f>SUM(F15)</f>
        <v>10913400</v>
      </c>
      <c r="G16" s="269">
        <f t="shared" si="0"/>
        <v>0</v>
      </c>
      <c r="H16" s="767">
        <f t="shared" si="2"/>
        <v>0</v>
      </c>
      <c r="I16" s="485"/>
    </row>
    <row r="17" spans="1:9" x14ac:dyDescent="0.3">
      <c r="A17" s="1426" t="s">
        <v>522</v>
      </c>
      <c r="B17" s="1429" t="s">
        <v>524</v>
      </c>
      <c r="C17" s="482" t="s">
        <v>526</v>
      </c>
      <c r="D17" s="782">
        <v>4171522</v>
      </c>
      <c r="E17" s="118">
        <v>4171522</v>
      </c>
      <c r="F17" s="782">
        <v>4171522</v>
      </c>
      <c r="G17" s="492"/>
      <c r="H17" s="768">
        <f t="shared" si="2"/>
        <v>0</v>
      </c>
      <c r="I17" s="279"/>
    </row>
    <row r="18" spans="1:9" ht="33" x14ac:dyDescent="0.3">
      <c r="A18" s="1427"/>
      <c r="B18" s="1430"/>
      <c r="C18" s="395" t="s">
        <v>527</v>
      </c>
      <c r="D18" s="778">
        <v>10202107</v>
      </c>
      <c r="E18" s="115">
        <v>10202107</v>
      </c>
      <c r="F18" s="778">
        <v>10202107</v>
      </c>
      <c r="G18" s="278"/>
      <c r="H18" s="784">
        <f t="shared" si="2"/>
        <v>0</v>
      </c>
      <c r="I18" s="280"/>
    </row>
    <row r="19" spans="1:9" ht="17.25" thickBot="1" x14ac:dyDescent="0.35">
      <c r="A19" s="1428"/>
      <c r="B19" s="1431" t="s">
        <v>528</v>
      </c>
      <c r="C19" s="1431"/>
      <c r="D19" s="418">
        <f>SUM(D17:D18)</f>
        <v>14373629</v>
      </c>
      <c r="E19" s="418">
        <f t="shared" ref="E19:F19" si="3">SUM(E17:E18)</f>
        <v>14373629</v>
      </c>
      <c r="F19" s="418">
        <f t="shared" si="3"/>
        <v>14373629</v>
      </c>
      <c r="G19" s="439">
        <f t="shared" si="0"/>
        <v>0</v>
      </c>
      <c r="H19" s="786">
        <f t="shared" si="2"/>
        <v>0</v>
      </c>
      <c r="I19" s="281"/>
    </row>
    <row r="20" spans="1:9" ht="33" x14ac:dyDescent="0.3">
      <c r="A20" s="1426" t="s">
        <v>529</v>
      </c>
      <c r="B20" s="1411" t="s">
        <v>530</v>
      </c>
      <c r="C20" s="1212" t="s">
        <v>531</v>
      </c>
      <c r="D20" s="783">
        <v>4371</v>
      </c>
      <c r="E20" s="118">
        <v>153</v>
      </c>
      <c r="F20" s="783">
        <v>4187</v>
      </c>
      <c r="G20" s="286"/>
      <c r="H20" s="288">
        <f t="shared" si="2"/>
        <v>0</v>
      </c>
      <c r="I20" s="310"/>
    </row>
    <row r="21" spans="1:9" x14ac:dyDescent="0.3">
      <c r="A21" s="1427"/>
      <c r="B21" s="1412"/>
      <c r="C21" s="940" t="s">
        <v>532</v>
      </c>
      <c r="D21" s="778">
        <v>2448600</v>
      </c>
      <c r="E21" s="115">
        <v>9948600</v>
      </c>
      <c r="F21" s="778">
        <v>2448600</v>
      </c>
      <c r="G21" s="278"/>
      <c r="H21" s="784">
        <f t="shared" si="2"/>
        <v>0</v>
      </c>
      <c r="I21" s="960" t="s">
        <v>445</v>
      </c>
    </row>
    <row r="22" spans="1:9" ht="17.25" thickBot="1" x14ac:dyDescent="0.35">
      <c r="A22" s="1428"/>
      <c r="B22" s="1432" t="s">
        <v>533</v>
      </c>
      <c r="C22" s="1363"/>
      <c r="D22" s="787">
        <f>SUM(D20:D21)</f>
        <v>2452971</v>
      </c>
      <c r="E22" s="788">
        <f>SUM(E20:E21)</f>
        <v>9948753</v>
      </c>
      <c r="F22" s="787">
        <f>SUM(F20:F21)</f>
        <v>2452787</v>
      </c>
      <c r="G22" s="789"/>
      <c r="H22" s="786">
        <f t="shared" si="2"/>
        <v>0</v>
      </c>
      <c r="I22" s="494"/>
    </row>
    <row r="23" spans="1:9" ht="17.25" thickBot="1" x14ac:dyDescent="0.35">
      <c r="A23" s="1455" t="s">
        <v>16</v>
      </c>
      <c r="B23" s="1415"/>
      <c r="C23" s="1416"/>
      <c r="D23" s="448">
        <f>SUM(D9,D11,D14,D16,D19,D22)</f>
        <v>45240000</v>
      </c>
      <c r="E23" s="448">
        <f>SUM(E9,E11,E14,E16,E19,E22)</f>
        <v>44092586</v>
      </c>
      <c r="F23" s="448">
        <f>SUM(F9,F11,F14,F16,F19,F22)</f>
        <v>47510020</v>
      </c>
      <c r="G23" s="446">
        <f t="shared" si="0"/>
        <v>2270020</v>
      </c>
      <c r="H23" s="909">
        <f t="shared" si="2"/>
        <v>5.0177276746242262E-2</v>
      </c>
      <c r="I23" s="61"/>
    </row>
    <row r="24" spans="1:9" ht="21" thickBot="1" x14ac:dyDescent="0.35">
      <c r="A24" s="1444" t="s">
        <v>620</v>
      </c>
      <c r="B24" s="1445"/>
      <c r="C24" s="1445"/>
      <c r="D24" s="1445"/>
      <c r="E24" s="1445"/>
      <c r="F24" s="1445"/>
      <c r="G24" s="1445"/>
      <c r="H24" s="1445"/>
      <c r="I24" s="1445"/>
    </row>
    <row r="25" spans="1:9" ht="17.45" customHeight="1" x14ac:dyDescent="0.3">
      <c r="A25" s="1330" t="s">
        <v>14</v>
      </c>
      <c r="B25" s="1331"/>
      <c r="C25" s="1452"/>
      <c r="D25" s="1453" t="s">
        <v>237</v>
      </c>
      <c r="E25" s="1273" t="s">
        <v>396</v>
      </c>
      <c r="F25" s="1273" t="s">
        <v>236</v>
      </c>
      <c r="G25" s="1273" t="s">
        <v>59</v>
      </c>
      <c r="H25" s="1328" t="s">
        <v>49</v>
      </c>
      <c r="I25" s="1332" t="s">
        <v>130</v>
      </c>
    </row>
    <row r="26" spans="1:9" ht="18" customHeight="1" thickBot="1" x14ac:dyDescent="0.35">
      <c r="A26" s="317" t="s">
        <v>0</v>
      </c>
      <c r="B26" s="318" t="s">
        <v>1</v>
      </c>
      <c r="C26" s="466" t="s">
        <v>2</v>
      </c>
      <c r="D26" s="1454"/>
      <c r="E26" s="1274"/>
      <c r="F26" s="1274"/>
      <c r="G26" s="1274"/>
      <c r="H26" s="1329"/>
      <c r="I26" s="1333"/>
    </row>
    <row r="27" spans="1:9" x14ac:dyDescent="0.3">
      <c r="A27" s="1334" t="s">
        <v>537</v>
      </c>
      <c r="B27" s="1336" t="s">
        <v>538</v>
      </c>
      <c r="C27" s="198" t="s">
        <v>539</v>
      </c>
      <c r="D27" s="204">
        <v>25200000</v>
      </c>
      <c r="E27" s="204">
        <v>23100000</v>
      </c>
      <c r="F27" s="204">
        <v>25200000</v>
      </c>
      <c r="G27" s="255">
        <f>F27-D27</f>
        <v>0</v>
      </c>
      <c r="H27" s="56">
        <f>G27/D27*100%</f>
        <v>0</v>
      </c>
      <c r="I27" s="1219"/>
    </row>
    <row r="28" spans="1:9" ht="33" x14ac:dyDescent="0.3">
      <c r="A28" s="1334"/>
      <c r="B28" s="1336"/>
      <c r="C28" s="199" t="s">
        <v>541</v>
      </c>
      <c r="D28" s="204">
        <v>2200080</v>
      </c>
      <c r="E28" s="204">
        <v>2016740</v>
      </c>
      <c r="F28" s="204">
        <v>2200080</v>
      </c>
      <c r="G28" s="255">
        <f t="shared" ref="G28:G50" si="4">F28-D28</f>
        <v>0</v>
      </c>
      <c r="H28" s="56">
        <f t="shared" ref="H28:H51" si="5">G28/D28*100%</f>
        <v>0</v>
      </c>
      <c r="I28" s="1219"/>
    </row>
    <row r="29" spans="1:9" ht="33" x14ac:dyDescent="0.3">
      <c r="A29" s="1334"/>
      <c r="B29" s="1336"/>
      <c r="C29" s="199" t="s">
        <v>543</v>
      </c>
      <c r="D29" s="245">
        <v>2698600</v>
      </c>
      <c r="E29" s="204">
        <v>2428551</v>
      </c>
      <c r="F29" s="245">
        <v>2639790</v>
      </c>
      <c r="G29" s="255">
        <f t="shared" si="4"/>
        <v>-58810</v>
      </c>
      <c r="H29" s="56">
        <f t="shared" si="5"/>
        <v>-2.1792781442229302E-2</v>
      </c>
      <c r="I29" s="1220" t="s">
        <v>446</v>
      </c>
    </row>
    <row r="30" spans="1:9" x14ac:dyDescent="0.3">
      <c r="A30" s="1334"/>
      <c r="B30" s="1336"/>
      <c r="C30" s="199" t="s">
        <v>545</v>
      </c>
      <c r="D30" s="245">
        <v>1200000</v>
      </c>
      <c r="E30" s="204">
        <v>1100000</v>
      </c>
      <c r="F30" s="245">
        <v>1200000</v>
      </c>
      <c r="G30" s="255">
        <f t="shared" si="4"/>
        <v>0</v>
      </c>
      <c r="H30" s="56">
        <f t="shared" si="5"/>
        <v>0</v>
      </c>
      <c r="I30" s="1221"/>
    </row>
    <row r="31" spans="1:9" ht="17.25" thickBot="1" x14ac:dyDescent="0.35">
      <c r="A31" s="1334"/>
      <c r="B31" s="1337"/>
      <c r="C31" s="939" t="s">
        <v>725</v>
      </c>
      <c r="D31" s="246">
        <f>SUM(D27:D30)</f>
        <v>31298680</v>
      </c>
      <c r="E31" s="59">
        <f>SUM(E27:E30)</f>
        <v>28645291</v>
      </c>
      <c r="F31" s="246">
        <f>SUM(F27:F30)</f>
        <v>31239870</v>
      </c>
      <c r="G31" s="256">
        <f t="shared" si="4"/>
        <v>-58810</v>
      </c>
      <c r="H31" s="777">
        <f t="shared" si="5"/>
        <v>-1.8789929798956378E-3</v>
      </c>
      <c r="I31" s="257"/>
    </row>
    <row r="32" spans="1:9" x14ac:dyDescent="0.3">
      <c r="A32" s="1334"/>
      <c r="B32" s="1338" t="s">
        <v>546</v>
      </c>
      <c r="C32" s="200" t="s">
        <v>547</v>
      </c>
      <c r="D32" s="790">
        <v>50000</v>
      </c>
      <c r="E32" s="791"/>
      <c r="F32" s="790">
        <v>0</v>
      </c>
      <c r="G32" s="47">
        <f t="shared" si="4"/>
        <v>-50000</v>
      </c>
      <c r="H32" s="254">
        <f t="shared" si="5"/>
        <v>-1</v>
      </c>
      <c r="I32" s="1222" t="s">
        <v>447</v>
      </c>
    </row>
    <row r="33" spans="1:9" x14ac:dyDescent="0.3">
      <c r="A33" s="1334"/>
      <c r="B33" s="1336"/>
      <c r="C33" s="199" t="s">
        <v>548</v>
      </c>
      <c r="D33" s="792"/>
      <c r="E33" s="793"/>
      <c r="F33" s="792"/>
      <c r="G33" s="255"/>
      <c r="H33" s="56"/>
      <c r="I33" s="1220"/>
    </row>
    <row r="34" spans="1:9" ht="17.25" thickBot="1" x14ac:dyDescent="0.35">
      <c r="A34" s="1334"/>
      <c r="B34" s="1337"/>
      <c r="C34" s="939" t="s">
        <v>725</v>
      </c>
      <c r="D34" s="246">
        <f>SUM(D32:D33)</f>
        <v>50000</v>
      </c>
      <c r="E34" s="59"/>
      <c r="F34" s="246">
        <f>SUM(F32:F33)</f>
        <v>0</v>
      </c>
      <c r="G34" s="256">
        <f t="shared" si="4"/>
        <v>-50000</v>
      </c>
      <c r="H34" s="777">
        <f t="shared" si="5"/>
        <v>-1</v>
      </c>
      <c r="I34" s="60"/>
    </row>
    <row r="35" spans="1:9" x14ac:dyDescent="0.3">
      <c r="A35" s="1334"/>
      <c r="B35" s="1338" t="s">
        <v>550</v>
      </c>
      <c r="C35" s="200" t="s">
        <v>552</v>
      </c>
      <c r="D35" s="790">
        <v>50000</v>
      </c>
      <c r="E35" s="791"/>
      <c r="F35" s="790">
        <v>0</v>
      </c>
      <c r="G35" s="47">
        <f t="shared" si="4"/>
        <v>-50000</v>
      </c>
      <c r="H35" s="260">
        <f t="shared" si="5"/>
        <v>-1</v>
      </c>
      <c r="I35" s="1222" t="s">
        <v>447</v>
      </c>
    </row>
    <row r="36" spans="1:9" ht="33.75" thickBot="1" x14ac:dyDescent="0.35">
      <c r="A36" s="1334"/>
      <c r="B36" s="1336"/>
      <c r="C36" s="199" t="s">
        <v>553</v>
      </c>
      <c r="D36" s="792"/>
      <c r="E36" s="793"/>
      <c r="F36" s="792"/>
      <c r="G36" s="255"/>
      <c r="H36" s="56"/>
      <c r="I36" s="1220"/>
    </row>
    <row r="37" spans="1:9" x14ac:dyDescent="0.3">
      <c r="A37" s="1334"/>
      <c r="B37" s="1336"/>
      <c r="C37" s="199" t="s">
        <v>554</v>
      </c>
      <c r="D37" s="792">
        <v>50000</v>
      </c>
      <c r="E37" s="793"/>
      <c r="F37" s="792">
        <v>0</v>
      </c>
      <c r="G37" s="255">
        <f t="shared" si="4"/>
        <v>-50000</v>
      </c>
      <c r="H37" s="56">
        <f t="shared" si="5"/>
        <v>-1</v>
      </c>
      <c r="I37" s="1222" t="s">
        <v>447</v>
      </c>
    </row>
    <row r="38" spans="1:9" x14ac:dyDescent="0.3">
      <c r="A38" s="1334"/>
      <c r="B38" s="1336"/>
      <c r="C38" s="199" t="s">
        <v>556</v>
      </c>
      <c r="D38" s="792"/>
      <c r="E38" s="793"/>
      <c r="F38" s="792"/>
      <c r="G38" s="255"/>
      <c r="H38" s="56"/>
      <c r="I38" s="1220"/>
    </row>
    <row r="39" spans="1:9" x14ac:dyDescent="0.3">
      <c r="A39" s="1334"/>
      <c r="B39" s="1336"/>
      <c r="C39" s="199" t="s">
        <v>557</v>
      </c>
      <c r="D39" s="792"/>
      <c r="E39" s="793"/>
      <c r="F39" s="792"/>
      <c r="G39" s="255"/>
      <c r="H39" s="56"/>
      <c r="I39" s="1223"/>
    </row>
    <row r="40" spans="1:9" ht="17.25" thickBot="1" x14ac:dyDescent="0.35">
      <c r="A40" s="1334"/>
      <c r="B40" s="1337"/>
      <c r="C40" s="939" t="s">
        <v>725</v>
      </c>
      <c r="D40" s="246">
        <f>SUM(D35:D39)</f>
        <v>100000</v>
      </c>
      <c r="E40" s="59"/>
      <c r="F40" s="246">
        <f>SUM(F35:F39)</f>
        <v>0</v>
      </c>
      <c r="G40" s="256">
        <f t="shared" si="4"/>
        <v>-100000</v>
      </c>
      <c r="H40" s="831">
        <f t="shared" si="5"/>
        <v>-1</v>
      </c>
      <c r="I40" s="60"/>
    </row>
    <row r="41" spans="1:9" ht="17.25" thickBot="1" x14ac:dyDescent="0.35">
      <c r="A41" s="1335"/>
      <c r="B41" s="1355" t="s">
        <v>510</v>
      </c>
      <c r="C41" s="1356"/>
      <c r="D41" s="1215">
        <f>D31+D34+D40</f>
        <v>31448680</v>
      </c>
      <c r="E41" s="559">
        <f>E31+E34+E40</f>
        <v>28645291</v>
      </c>
      <c r="F41" s="1215">
        <f>F31+F34+F40</f>
        <v>31239870</v>
      </c>
      <c r="G41" s="1216">
        <f t="shared" si="4"/>
        <v>-208810</v>
      </c>
      <c r="H41" s="558">
        <f t="shared" si="5"/>
        <v>-6.6397063406158858E-3</v>
      </c>
      <c r="I41" s="561"/>
    </row>
    <row r="42" spans="1:9" ht="33" x14ac:dyDescent="0.3">
      <c r="A42" s="1339" t="s">
        <v>558</v>
      </c>
      <c r="B42" s="1338" t="s">
        <v>560</v>
      </c>
      <c r="C42" s="200" t="s">
        <v>561</v>
      </c>
      <c r="D42" s="258"/>
      <c r="E42" s="259"/>
      <c r="F42" s="47"/>
      <c r="G42" s="47">
        <f t="shared" si="4"/>
        <v>0</v>
      </c>
      <c r="H42" s="254"/>
      <c r="I42" s="1222"/>
    </row>
    <row r="43" spans="1:9" ht="33" x14ac:dyDescent="0.3">
      <c r="A43" s="1334"/>
      <c r="B43" s="1347"/>
      <c r="C43" s="199" t="s">
        <v>562</v>
      </c>
      <c r="D43" s="794">
        <v>13000005</v>
      </c>
      <c r="E43" s="795">
        <v>13000005</v>
      </c>
      <c r="F43" s="794">
        <v>13000005</v>
      </c>
      <c r="G43" s="255">
        <f t="shared" si="4"/>
        <v>0</v>
      </c>
      <c r="H43" s="56">
        <f t="shared" si="5"/>
        <v>0</v>
      </c>
      <c r="I43" s="1220"/>
    </row>
    <row r="44" spans="1:9" ht="17.25" thickBot="1" x14ac:dyDescent="0.35">
      <c r="A44" s="1335"/>
      <c r="B44" s="1348" t="s">
        <v>563</v>
      </c>
      <c r="C44" s="1349"/>
      <c r="D44" s="250">
        <f>SUM(D42:D43)</f>
        <v>13000005</v>
      </c>
      <c r="E44" s="59">
        <f>SUM(E42:E43)</f>
        <v>13000005</v>
      </c>
      <c r="F44" s="250">
        <f>SUM(F42:F43)</f>
        <v>13000005</v>
      </c>
      <c r="G44" s="256">
        <f t="shared" si="4"/>
        <v>0</v>
      </c>
      <c r="H44" s="765">
        <f t="shared" si="5"/>
        <v>0</v>
      </c>
      <c r="I44" s="257"/>
    </row>
    <row r="45" spans="1:9" x14ac:dyDescent="0.3">
      <c r="A45" s="1339" t="s">
        <v>564</v>
      </c>
      <c r="B45" s="200" t="s">
        <v>565</v>
      </c>
      <c r="C45" s="200" t="s">
        <v>566</v>
      </c>
      <c r="D45" s="796">
        <v>200000</v>
      </c>
      <c r="E45" s="797">
        <v>168259</v>
      </c>
      <c r="F45" s="796">
        <v>200000</v>
      </c>
      <c r="G45" s="47">
        <f t="shared" si="4"/>
        <v>0</v>
      </c>
      <c r="H45" s="254">
        <f t="shared" si="5"/>
        <v>0</v>
      </c>
      <c r="I45" s="830"/>
    </row>
    <row r="46" spans="1:9" ht="17.25" thickBot="1" x14ac:dyDescent="0.35">
      <c r="A46" s="1335"/>
      <c r="B46" s="1348" t="s">
        <v>510</v>
      </c>
      <c r="C46" s="1349"/>
      <c r="D46" s="246">
        <f>SUM(D45)</f>
        <v>200000</v>
      </c>
      <c r="E46" s="59">
        <f>SUM(E45)</f>
        <v>168259</v>
      </c>
      <c r="F46" s="246">
        <f>SUM(F45)</f>
        <v>200000</v>
      </c>
      <c r="G46" s="256">
        <f t="shared" si="4"/>
        <v>0</v>
      </c>
      <c r="H46" s="765">
        <f t="shared" si="5"/>
        <v>0</v>
      </c>
      <c r="I46" s="257"/>
    </row>
    <row r="47" spans="1:9" x14ac:dyDescent="0.3">
      <c r="A47" s="1339" t="s">
        <v>567</v>
      </c>
      <c r="B47" s="200" t="s">
        <v>568</v>
      </c>
      <c r="C47" s="200" t="s">
        <v>569</v>
      </c>
      <c r="D47" s="46"/>
      <c r="E47" s="46"/>
      <c r="F47" s="46"/>
      <c r="G47" s="47">
        <f t="shared" si="4"/>
        <v>0</v>
      </c>
      <c r="H47" s="254"/>
      <c r="I47" s="49"/>
    </row>
    <row r="48" spans="1:9" ht="17.25" thickBot="1" x14ac:dyDescent="0.35">
      <c r="A48" s="1335"/>
      <c r="B48" s="1432" t="s">
        <v>570</v>
      </c>
      <c r="C48" s="1433"/>
      <c r="D48" s="59"/>
      <c r="E48" s="59"/>
      <c r="F48" s="59"/>
      <c r="G48" s="256">
        <f t="shared" si="4"/>
        <v>0</v>
      </c>
      <c r="H48" s="765"/>
      <c r="I48" s="60"/>
    </row>
    <row r="49" spans="1:9" ht="33" x14ac:dyDescent="0.3">
      <c r="A49" s="1334" t="s">
        <v>571</v>
      </c>
      <c r="B49" s="262" t="s">
        <v>27</v>
      </c>
      <c r="C49" s="262" t="s">
        <v>28</v>
      </c>
      <c r="D49" s="886">
        <v>591315</v>
      </c>
      <c r="E49" s="886">
        <v>2279031</v>
      </c>
      <c r="F49" s="886">
        <v>3070125</v>
      </c>
      <c r="G49" s="253">
        <f t="shared" si="4"/>
        <v>2478810</v>
      </c>
      <c r="H49" s="254">
        <f t="shared" si="5"/>
        <v>4.192029628878009</v>
      </c>
      <c r="I49" s="961" t="s">
        <v>448</v>
      </c>
    </row>
    <row r="50" spans="1:9" ht="17.25" thickBot="1" x14ac:dyDescent="0.35">
      <c r="A50" s="1335"/>
      <c r="B50" s="1432" t="s">
        <v>573</v>
      </c>
      <c r="C50" s="1433"/>
      <c r="D50" s="125">
        <f>SUM(D49)</f>
        <v>591315</v>
      </c>
      <c r="E50" s="125"/>
      <c r="F50" s="125">
        <f>SUM(F49)</f>
        <v>3070125</v>
      </c>
      <c r="G50" s="255">
        <f t="shared" si="4"/>
        <v>2478810</v>
      </c>
      <c r="H50" s="765">
        <f t="shared" si="5"/>
        <v>4.192029628878009</v>
      </c>
      <c r="I50" s="126"/>
    </row>
    <row r="51" spans="1:9" ht="17.25" thickBot="1" x14ac:dyDescent="0.35">
      <c r="A51" s="1442" t="s">
        <v>16</v>
      </c>
      <c r="B51" s="1443"/>
      <c r="C51" s="1443"/>
      <c r="D51" s="129">
        <f>SUM(D41,D44,D46,D48,D50)</f>
        <v>45240000</v>
      </c>
      <c r="E51" s="129">
        <f t="shared" ref="E51:F51" si="6">SUM(E41,E44,E46,E48,E50)</f>
        <v>41813555</v>
      </c>
      <c r="F51" s="129">
        <f t="shared" si="6"/>
        <v>47510000</v>
      </c>
      <c r="G51" s="127">
        <f>F51-D51</f>
        <v>2270000</v>
      </c>
      <c r="H51" s="798">
        <f t="shared" si="5"/>
        <v>5.0176834659593279E-2</v>
      </c>
      <c r="I51" s="128"/>
    </row>
  </sheetData>
  <mergeCells count="50">
    <mergeCell ref="A8:A9"/>
    <mergeCell ref="B9:C9"/>
    <mergeCell ref="A1:I1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10:A11"/>
    <mergeCell ref="B11:C11"/>
    <mergeCell ref="A17:A19"/>
    <mergeCell ref="B17:B18"/>
    <mergeCell ref="B19:C19"/>
    <mergeCell ref="A12:A14"/>
    <mergeCell ref="B12:B13"/>
    <mergeCell ref="B14:C14"/>
    <mergeCell ref="A15:A16"/>
    <mergeCell ref="B16:C16"/>
    <mergeCell ref="A20:A22"/>
    <mergeCell ref="B20:B21"/>
    <mergeCell ref="B22:C22"/>
    <mergeCell ref="A23:C23"/>
    <mergeCell ref="A24:I24"/>
    <mergeCell ref="H25:H26"/>
    <mergeCell ref="I25:I26"/>
    <mergeCell ref="A27:A41"/>
    <mergeCell ref="B27:B31"/>
    <mergeCell ref="B32:B34"/>
    <mergeCell ref="B35:B40"/>
    <mergeCell ref="B41:C41"/>
    <mergeCell ref="A25:C25"/>
    <mergeCell ref="D25:D26"/>
    <mergeCell ref="E25:E26"/>
    <mergeCell ref="F25:F26"/>
    <mergeCell ref="G25:G26"/>
    <mergeCell ref="A49:A50"/>
    <mergeCell ref="A51:C51"/>
    <mergeCell ref="A42:A44"/>
    <mergeCell ref="B42:B43"/>
    <mergeCell ref="B44:C44"/>
    <mergeCell ref="A45:A46"/>
    <mergeCell ref="B46:C46"/>
    <mergeCell ref="A47:A48"/>
    <mergeCell ref="B48:C48"/>
    <mergeCell ref="B50:C50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76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I119"/>
  <sheetViews>
    <sheetView topLeftCell="A87" zoomScale="70" zoomScaleNormal="70" workbookViewId="0">
      <selection sqref="A1:I119"/>
    </sheetView>
  </sheetViews>
  <sheetFormatPr defaultColWidth="9" defaultRowHeight="16.5" x14ac:dyDescent="0.3"/>
  <cols>
    <col min="1" max="1" width="14.25" style="2" customWidth="1"/>
    <col min="2" max="2" width="12.875" style="3" customWidth="1"/>
    <col min="3" max="3" width="21.625" style="3" customWidth="1"/>
    <col min="4" max="4" width="17.625" style="2" customWidth="1"/>
    <col min="5" max="5" width="21.25" style="2" customWidth="1"/>
    <col min="6" max="6" width="23" style="2" customWidth="1"/>
    <col min="7" max="7" width="20.125" style="2" customWidth="1"/>
    <col min="8" max="8" width="12.625" style="2" customWidth="1"/>
    <col min="9" max="9" width="35.25" style="2" customWidth="1"/>
    <col min="10" max="16384" width="9" style="2"/>
  </cols>
  <sheetData>
    <row r="1" spans="1:9" x14ac:dyDescent="0.3">
      <c r="A1" s="1463"/>
      <c r="B1" s="1463"/>
      <c r="C1" s="1463"/>
      <c r="D1" s="1463"/>
      <c r="E1" s="1463"/>
      <c r="F1" s="1463"/>
      <c r="G1" s="1463"/>
      <c r="H1" s="1463"/>
      <c r="I1" s="1463"/>
    </row>
    <row r="2" spans="1:9" ht="41.45" customHeight="1" x14ac:dyDescent="0.3">
      <c r="A2" s="1464" t="s">
        <v>67</v>
      </c>
      <c r="B2" s="1465"/>
      <c r="C2" s="1465"/>
      <c r="D2" s="1465"/>
      <c r="E2" s="1465"/>
      <c r="F2" s="1465"/>
      <c r="G2" s="1465"/>
      <c r="H2" s="1465"/>
      <c r="I2" s="1465"/>
    </row>
    <row r="3" spans="1:9" customFormat="1" ht="25.9" customHeight="1" x14ac:dyDescent="0.3">
      <c r="A3" s="1435" t="s">
        <v>424</v>
      </c>
      <c r="B3" s="1435"/>
      <c r="C3" s="1435"/>
      <c r="D3" s="1435"/>
      <c r="E3" s="1435"/>
      <c r="F3" s="1435"/>
      <c r="G3" s="1435"/>
      <c r="H3" s="1435"/>
      <c r="I3" s="1435"/>
    </row>
    <row r="4" spans="1:9" customFormat="1" ht="15.6" customHeight="1" x14ac:dyDescent="0.3">
      <c r="A4" s="1435"/>
      <c r="B4" s="1435"/>
      <c r="C4" s="1435"/>
      <c r="D4" s="1435"/>
      <c r="E4" s="1435"/>
      <c r="F4" s="1435"/>
      <c r="G4" s="1435"/>
      <c r="H4" s="1435"/>
      <c r="I4" s="1435"/>
    </row>
    <row r="5" spans="1:9" ht="17.25" thickBot="1" x14ac:dyDescent="0.35">
      <c r="A5" s="1466" t="s">
        <v>716</v>
      </c>
      <c r="B5" s="1466"/>
      <c r="C5" s="1466"/>
      <c r="D5" s="1466"/>
      <c r="E5" s="1466"/>
      <c r="F5" s="1466"/>
      <c r="G5" s="1466"/>
      <c r="H5" s="1466"/>
      <c r="I5" s="1466"/>
    </row>
    <row r="6" spans="1:9" ht="17.25" customHeight="1" x14ac:dyDescent="0.3">
      <c r="A6" s="1314" t="s">
        <v>29</v>
      </c>
      <c r="B6" s="1315"/>
      <c r="C6" s="1315"/>
      <c r="D6" s="1273" t="s">
        <v>237</v>
      </c>
      <c r="E6" s="1273" t="s">
        <v>395</v>
      </c>
      <c r="F6" s="1273" t="s">
        <v>236</v>
      </c>
      <c r="G6" s="1273" t="s">
        <v>59</v>
      </c>
      <c r="H6" s="1275" t="s">
        <v>49</v>
      </c>
      <c r="I6" s="1277" t="s">
        <v>61</v>
      </c>
    </row>
    <row r="7" spans="1:9" ht="17.25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276"/>
      <c r="I7" s="1278"/>
    </row>
    <row r="8" spans="1:9" ht="33" customHeight="1" x14ac:dyDescent="0.3">
      <c r="A8" s="1364" t="s">
        <v>324</v>
      </c>
      <c r="B8" s="1309" t="s">
        <v>326</v>
      </c>
      <c r="C8" s="319" t="s">
        <v>147</v>
      </c>
      <c r="D8" s="236"/>
      <c r="E8" s="236"/>
      <c r="F8" s="236"/>
      <c r="G8" s="243">
        <f>F8-D8</f>
        <v>0</v>
      </c>
      <c r="H8" s="237"/>
      <c r="I8" s="293"/>
    </row>
    <row r="9" spans="1:9" ht="17.25" x14ac:dyDescent="0.3">
      <c r="A9" s="1364"/>
      <c r="B9" s="1309"/>
      <c r="C9" s="320" t="s">
        <v>150</v>
      </c>
      <c r="D9" s="231"/>
      <c r="E9" s="231"/>
      <c r="F9" s="231"/>
      <c r="G9" s="243">
        <f t="shared" ref="G9:G30" si="0">F9-D9</f>
        <v>0</v>
      </c>
      <c r="H9" s="237"/>
      <c r="I9" s="294"/>
    </row>
    <row r="10" spans="1:9" ht="17.25" x14ac:dyDescent="0.3">
      <c r="A10" s="1364"/>
      <c r="B10" s="1309"/>
      <c r="C10" s="320" t="s">
        <v>151</v>
      </c>
      <c r="D10" s="231"/>
      <c r="E10" s="231"/>
      <c r="F10" s="231"/>
      <c r="G10" s="243">
        <f t="shared" si="0"/>
        <v>0</v>
      </c>
      <c r="H10" s="237"/>
      <c r="I10" s="294"/>
    </row>
    <row r="11" spans="1:9" ht="17.25" x14ac:dyDescent="0.3">
      <c r="A11" s="1364"/>
      <c r="B11" s="1309"/>
      <c r="C11" s="320" t="s">
        <v>152</v>
      </c>
      <c r="D11" s="231"/>
      <c r="E11" s="231"/>
      <c r="F11" s="231"/>
      <c r="G11" s="243">
        <f t="shared" si="0"/>
        <v>0</v>
      </c>
      <c r="H11" s="237"/>
      <c r="I11" s="294"/>
    </row>
    <row r="12" spans="1:9" ht="17.25" x14ac:dyDescent="0.3">
      <c r="A12" s="1364"/>
      <c r="B12" s="1288"/>
      <c r="C12" s="320" t="s">
        <v>153</v>
      </c>
      <c r="D12" s="231"/>
      <c r="E12" s="231"/>
      <c r="F12" s="231"/>
      <c r="G12" s="243">
        <f t="shared" si="0"/>
        <v>0</v>
      </c>
      <c r="H12" s="237"/>
      <c r="I12" s="294"/>
    </row>
    <row r="13" spans="1:9" ht="18" thickBot="1" x14ac:dyDescent="0.35">
      <c r="A13" s="1365"/>
      <c r="B13" s="1374" t="s">
        <v>704</v>
      </c>
      <c r="C13" s="1374"/>
      <c r="D13" s="232">
        <f>SUM(D8:D12)</f>
        <v>0</v>
      </c>
      <c r="E13" s="232">
        <f t="shared" ref="E13:F13" si="1">SUM(E8:E12)</f>
        <v>0</v>
      </c>
      <c r="F13" s="232">
        <f t="shared" si="1"/>
        <v>0</v>
      </c>
      <c r="G13" s="244">
        <f t="shared" si="0"/>
        <v>0</v>
      </c>
      <c r="H13" s="235"/>
      <c r="I13" s="295"/>
    </row>
    <row r="14" spans="1:9" ht="17.25" x14ac:dyDescent="0.3">
      <c r="A14" s="1401" t="s">
        <v>157</v>
      </c>
      <c r="B14" s="1309" t="s">
        <v>158</v>
      </c>
      <c r="C14" s="319" t="s">
        <v>142</v>
      </c>
      <c r="D14" s="834">
        <v>36480000</v>
      </c>
      <c r="E14" s="868">
        <v>29510000</v>
      </c>
      <c r="F14" s="834">
        <v>36480000</v>
      </c>
      <c r="G14" s="835">
        <f t="shared" si="0"/>
        <v>0</v>
      </c>
      <c r="H14" s="836">
        <f t="shared" ref="H14:H30" si="2">G14/D14*100%</f>
        <v>0</v>
      </c>
      <c r="I14" s="951"/>
    </row>
    <row r="15" spans="1:9" ht="17.25" x14ac:dyDescent="0.3">
      <c r="A15" s="1401"/>
      <c r="B15" s="1309"/>
      <c r="C15" s="320" t="s">
        <v>143</v>
      </c>
      <c r="D15" s="837">
        <v>61440000</v>
      </c>
      <c r="E15" s="869">
        <v>67550800</v>
      </c>
      <c r="F15" s="837">
        <v>76800000</v>
      </c>
      <c r="G15" s="835">
        <f t="shared" si="0"/>
        <v>15360000</v>
      </c>
      <c r="H15" s="836">
        <f t="shared" si="2"/>
        <v>0.25</v>
      </c>
      <c r="I15" s="950" t="s">
        <v>438</v>
      </c>
    </row>
    <row r="16" spans="1:9" ht="17.25" x14ac:dyDescent="0.3">
      <c r="A16" s="1401"/>
      <c r="B16" s="1309"/>
      <c r="C16" s="320" t="s">
        <v>144</v>
      </c>
      <c r="D16" s="837">
        <v>57600000</v>
      </c>
      <c r="E16" s="869">
        <v>56155000</v>
      </c>
      <c r="F16" s="837">
        <v>65280000</v>
      </c>
      <c r="G16" s="835">
        <f t="shared" si="0"/>
        <v>7680000</v>
      </c>
      <c r="H16" s="836">
        <f t="shared" si="2"/>
        <v>0.13333333333333333</v>
      </c>
      <c r="I16" s="950" t="s">
        <v>438</v>
      </c>
    </row>
    <row r="17" spans="1:9" ht="17.25" x14ac:dyDescent="0.3">
      <c r="A17" s="1401"/>
      <c r="B17" s="1309"/>
      <c r="C17" s="320" t="s">
        <v>145</v>
      </c>
      <c r="D17" s="837">
        <v>111960000</v>
      </c>
      <c r="E17" s="869">
        <v>90158750</v>
      </c>
      <c r="F17" s="837">
        <v>107820000</v>
      </c>
      <c r="G17" s="906">
        <f t="shared" si="0"/>
        <v>-4140000</v>
      </c>
      <c r="H17" s="836">
        <f t="shared" si="2"/>
        <v>-3.6977491961414789E-2</v>
      </c>
      <c r="I17" s="950" t="s">
        <v>437</v>
      </c>
    </row>
    <row r="18" spans="1:9" ht="17.25" x14ac:dyDescent="0.3">
      <c r="A18" s="1401"/>
      <c r="B18" s="1309"/>
      <c r="C18" s="319" t="s">
        <v>146</v>
      </c>
      <c r="D18" s="837">
        <v>400000</v>
      </c>
      <c r="E18" s="869">
        <v>400000</v>
      </c>
      <c r="F18" s="837">
        <v>400000</v>
      </c>
      <c r="G18" s="835">
        <f t="shared" si="0"/>
        <v>0</v>
      </c>
      <c r="H18" s="836">
        <f t="shared" si="2"/>
        <v>0</v>
      </c>
      <c r="I18" s="952"/>
    </row>
    <row r="19" spans="1:9" ht="17.25" x14ac:dyDescent="0.3">
      <c r="A19" s="1401"/>
      <c r="B19" s="1309"/>
      <c r="C19" s="146" t="s">
        <v>148</v>
      </c>
      <c r="D19" s="838">
        <v>0</v>
      </c>
      <c r="E19" s="869">
        <v>0</v>
      </c>
      <c r="F19" s="838">
        <v>0</v>
      </c>
      <c r="G19" s="835">
        <f t="shared" si="0"/>
        <v>0</v>
      </c>
      <c r="H19" s="836"/>
      <c r="I19" s="952"/>
    </row>
    <row r="20" spans="1:9" ht="17.25" x14ac:dyDescent="0.3">
      <c r="A20" s="1401"/>
      <c r="B20" s="1309"/>
      <c r="C20" s="146" t="s">
        <v>149</v>
      </c>
      <c r="D20" s="838">
        <v>0</v>
      </c>
      <c r="E20" s="869">
        <v>0</v>
      </c>
      <c r="F20" s="838">
        <v>0</v>
      </c>
      <c r="G20" s="835">
        <f t="shared" si="0"/>
        <v>0</v>
      </c>
      <c r="H20" s="836"/>
      <c r="I20" s="952"/>
    </row>
    <row r="21" spans="1:9" s="4" customFormat="1" x14ac:dyDescent="0.3">
      <c r="A21" s="1401"/>
      <c r="B21" s="1288"/>
      <c r="C21" s="146" t="s">
        <v>167</v>
      </c>
      <c r="D21" s="839">
        <v>0</v>
      </c>
      <c r="E21" s="866">
        <v>0</v>
      </c>
      <c r="F21" s="839">
        <v>0</v>
      </c>
      <c r="G21" s="712">
        <f t="shared" si="0"/>
        <v>0</v>
      </c>
      <c r="H21" s="836"/>
      <c r="I21" s="643"/>
    </row>
    <row r="22" spans="1:9" s="4" customFormat="1" ht="17.25" thickBot="1" x14ac:dyDescent="0.35">
      <c r="A22" s="1460"/>
      <c r="B22" s="1374" t="s">
        <v>704</v>
      </c>
      <c r="C22" s="1374"/>
      <c r="D22" s="840">
        <f>SUM(D14:D21)</f>
        <v>267880000</v>
      </c>
      <c r="E22" s="867">
        <v>243774550</v>
      </c>
      <c r="F22" s="840">
        <f>SUM(F14:F21)</f>
        <v>286780000</v>
      </c>
      <c r="G22" s="841">
        <f t="shared" si="0"/>
        <v>18900000</v>
      </c>
      <c r="H22" s="842">
        <f t="shared" si="2"/>
        <v>7.0553979393758404E-2</v>
      </c>
      <c r="I22" s="41"/>
    </row>
    <row r="23" spans="1:9" s="4" customFormat="1" ht="16.5" customHeight="1" x14ac:dyDescent="0.3">
      <c r="A23" s="1371" t="s">
        <v>159</v>
      </c>
      <c r="B23" s="1308" t="s">
        <v>160</v>
      </c>
      <c r="C23" s="147" t="s">
        <v>113</v>
      </c>
      <c r="D23" s="843">
        <v>2400000</v>
      </c>
      <c r="E23" s="874">
        <v>0</v>
      </c>
      <c r="F23" s="843">
        <v>0</v>
      </c>
      <c r="G23" s="907">
        <f t="shared" si="0"/>
        <v>-2400000</v>
      </c>
      <c r="H23" s="836">
        <f t="shared" si="2"/>
        <v>-1</v>
      </c>
      <c r="I23" s="79"/>
    </row>
    <row r="24" spans="1:9" s="4" customFormat="1" ht="15" customHeight="1" x14ac:dyDescent="0.3">
      <c r="A24" s="1372"/>
      <c r="B24" s="1309"/>
      <c r="C24" s="320" t="s">
        <v>63</v>
      </c>
      <c r="D24" s="844">
        <v>1119369000</v>
      </c>
      <c r="E24" s="875">
        <v>1079145360</v>
      </c>
      <c r="F24" s="844">
        <v>1079147000</v>
      </c>
      <c r="G24" s="600">
        <f t="shared" si="0"/>
        <v>-40222000</v>
      </c>
      <c r="H24" s="836">
        <f t="shared" si="2"/>
        <v>-3.5932744251448809E-2</v>
      </c>
      <c r="I24" s="953" t="s">
        <v>435</v>
      </c>
    </row>
    <row r="25" spans="1:9" s="4" customFormat="1" ht="38.25" customHeight="1" x14ac:dyDescent="0.3">
      <c r="A25" s="1372"/>
      <c r="B25" s="1309"/>
      <c r="C25" s="320" t="s">
        <v>30</v>
      </c>
      <c r="D25" s="844">
        <v>372931000</v>
      </c>
      <c r="E25" s="875">
        <v>429715680</v>
      </c>
      <c r="F25" s="844">
        <v>435019000</v>
      </c>
      <c r="G25" s="845">
        <f t="shared" si="0"/>
        <v>62088000</v>
      </c>
      <c r="H25" s="836">
        <f t="shared" si="2"/>
        <v>0.16648656185728727</v>
      </c>
      <c r="I25" s="954" t="s">
        <v>436</v>
      </c>
    </row>
    <row r="26" spans="1:9" s="4" customFormat="1" ht="18.600000000000001" customHeight="1" x14ac:dyDescent="0.3">
      <c r="A26" s="1372"/>
      <c r="B26" s="1288"/>
      <c r="C26" s="320" t="s">
        <v>64</v>
      </c>
      <c r="D26" s="844">
        <v>68400000</v>
      </c>
      <c r="E26" s="875">
        <v>58062800</v>
      </c>
      <c r="F26" s="844">
        <v>63830000</v>
      </c>
      <c r="G26" s="600">
        <f t="shared" si="0"/>
        <v>-4570000</v>
      </c>
      <c r="H26" s="836">
        <f t="shared" si="2"/>
        <v>-6.6812865497076018E-2</v>
      </c>
      <c r="I26" s="514" t="s">
        <v>429</v>
      </c>
    </row>
    <row r="27" spans="1:9" s="4" customFormat="1" ht="17.25" thickBot="1" x14ac:dyDescent="0.35">
      <c r="A27" s="1373"/>
      <c r="B27" s="1374" t="s">
        <v>704</v>
      </c>
      <c r="C27" s="1374"/>
      <c r="D27" s="846">
        <f>SUM(D23:D26)</f>
        <v>1563100000</v>
      </c>
      <c r="E27" s="876">
        <v>1566923840</v>
      </c>
      <c r="F27" s="846">
        <f>SUM(F23:F26)</f>
        <v>1577996000</v>
      </c>
      <c r="G27" s="847">
        <f t="shared" si="0"/>
        <v>14896000</v>
      </c>
      <c r="H27" s="955">
        <f t="shared" si="2"/>
        <v>9.5297805642633234E-3</v>
      </c>
      <c r="I27" s="81"/>
    </row>
    <row r="28" spans="1:9" s="4" customFormat="1" x14ac:dyDescent="0.3">
      <c r="A28" s="1325" t="s">
        <v>161</v>
      </c>
      <c r="B28" s="1288" t="s">
        <v>162</v>
      </c>
      <c r="C28" s="151" t="s">
        <v>6</v>
      </c>
      <c r="D28" s="848">
        <v>175150000</v>
      </c>
      <c r="E28" s="877">
        <v>162470015</v>
      </c>
      <c r="F28" s="848">
        <v>180310000</v>
      </c>
      <c r="G28" s="712">
        <f t="shared" si="0"/>
        <v>5160000</v>
      </c>
      <c r="H28" s="836">
        <f t="shared" si="2"/>
        <v>2.9460462460747929E-2</v>
      </c>
      <c r="I28" s="82"/>
    </row>
    <row r="29" spans="1:9" s="4" customFormat="1" ht="16.5" customHeight="1" x14ac:dyDescent="0.3">
      <c r="A29" s="1326"/>
      <c r="B29" s="1289"/>
      <c r="C29" s="151" t="s">
        <v>7</v>
      </c>
      <c r="D29" s="839">
        <v>18000000</v>
      </c>
      <c r="E29" s="873">
        <v>16650630</v>
      </c>
      <c r="F29" s="839">
        <v>20700000</v>
      </c>
      <c r="G29" s="712">
        <f t="shared" si="0"/>
        <v>2700000</v>
      </c>
      <c r="H29" s="836">
        <f t="shared" si="2"/>
        <v>0.15</v>
      </c>
      <c r="I29" s="643" t="s">
        <v>430</v>
      </c>
    </row>
    <row r="30" spans="1:9" s="4" customFormat="1" ht="17.25" thickBot="1" x14ac:dyDescent="0.35">
      <c r="A30" s="1327"/>
      <c r="B30" s="1374" t="s">
        <v>704</v>
      </c>
      <c r="C30" s="1374"/>
      <c r="D30" s="849">
        <f>SUM(D28:D29)</f>
        <v>193150000</v>
      </c>
      <c r="E30" s="878">
        <v>179120645</v>
      </c>
      <c r="F30" s="849">
        <f>SUM(F28:F29)</f>
        <v>201010000</v>
      </c>
      <c r="G30" s="850">
        <f t="shared" si="0"/>
        <v>7860000</v>
      </c>
      <c r="H30" s="842">
        <f t="shared" si="2"/>
        <v>4.0693761325394769E-2</v>
      </c>
      <c r="I30" s="42"/>
    </row>
    <row r="31" spans="1:9" s="4" customFormat="1" ht="17.25" x14ac:dyDescent="0.3">
      <c r="A31" s="1370" t="s">
        <v>163</v>
      </c>
      <c r="B31" s="1308" t="s">
        <v>168</v>
      </c>
      <c r="C31" s="147" t="s">
        <v>154</v>
      </c>
      <c r="D31" s="71"/>
      <c r="E31" s="871">
        <v>0</v>
      </c>
      <c r="F31" s="69"/>
      <c r="G31" s="69">
        <f t="shared" ref="G31:G49" si="3">F31-D31</f>
        <v>0</v>
      </c>
      <c r="H31" s="237"/>
      <c r="I31" s="79"/>
    </row>
    <row r="32" spans="1:9" s="4" customFormat="1" ht="17.25" x14ac:dyDescent="0.3">
      <c r="A32" s="1364"/>
      <c r="B32" s="1288"/>
      <c r="C32" s="320" t="s">
        <v>155</v>
      </c>
      <c r="D32" s="66"/>
      <c r="E32" s="872">
        <v>0</v>
      </c>
      <c r="F32" s="66"/>
      <c r="G32" s="66">
        <f t="shared" si="3"/>
        <v>0</v>
      </c>
      <c r="H32" s="237"/>
      <c r="I32" s="83"/>
    </row>
    <row r="33" spans="1:9" s="4" customFormat="1" ht="18" thickBot="1" x14ac:dyDescent="0.35">
      <c r="A33" s="1365"/>
      <c r="B33" s="1374" t="s">
        <v>704</v>
      </c>
      <c r="C33" s="1374"/>
      <c r="D33" s="73">
        <f>SUM(D31:D32)</f>
        <v>0</v>
      </c>
      <c r="E33" s="882">
        <v>0</v>
      </c>
      <c r="F33" s="73">
        <f t="shared" ref="F33" si="4">SUM(F31:F32)</f>
        <v>0</v>
      </c>
      <c r="G33" s="40">
        <f t="shared" si="3"/>
        <v>0</v>
      </c>
      <c r="H33" s="598"/>
      <c r="I33" s="81"/>
    </row>
    <row r="34" spans="1:9" s="4" customFormat="1" x14ac:dyDescent="0.3">
      <c r="A34" s="326"/>
      <c r="B34" s="1309" t="s">
        <v>169</v>
      </c>
      <c r="C34" s="319" t="s">
        <v>183</v>
      </c>
      <c r="D34" s="843">
        <v>9000000</v>
      </c>
      <c r="E34" s="870">
        <v>0</v>
      </c>
      <c r="F34" s="843">
        <v>7500000</v>
      </c>
      <c r="G34" s="908">
        <f t="shared" si="3"/>
        <v>-1500000</v>
      </c>
      <c r="H34" s="836">
        <f t="shared" ref="H34:H45" si="5">G34/D34*100%</f>
        <v>-0.16666666666666666</v>
      </c>
      <c r="I34" s="644" t="s">
        <v>431</v>
      </c>
    </row>
    <row r="35" spans="1:9" s="4" customFormat="1" x14ac:dyDescent="0.3">
      <c r="A35" s="620"/>
      <c r="B35" s="1309"/>
      <c r="C35" s="624" t="s">
        <v>184</v>
      </c>
      <c r="D35" s="844">
        <v>0</v>
      </c>
      <c r="E35" s="870">
        <v>0</v>
      </c>
      <c r="F35" s="844">
        <v>0</v>
      </c>
      <c r="G35" s="714">
        <f t="shared" si="3"/>
        <v>0</v>
      </c>
      <c r="H35" s="836"/>
      <c r="I35" s="240"/>
    </row>
    <row r="36" spans="1:9" s="4" customFormat="1" ht="16.5" customHeight="1" x14ac:dyDescent="0.3">
      <c r="A36" s="1303" t="s">
        <v>4</v>
      </c>
      <c r="B36" s="1288"/>
      <c r="C36" s="146" t="s">
        <v>357</v>
      </c>
      <c r="D36" s="851">
        <v>0</v>
      </c>
      <c r="E36" s="872">
        <v>0</v>
      </c>
      <c r="F36" s="851">
        <v>0</v>
      </c>
      <c r="G36" s="714">
        <f t="shared" si="3"/>
        <v>0</v>
      </c>
      <c r="H36" s="836"/>
      <c r="I36" s="83"/>
    </row>
    <row r="37" spans="1:9" s="4" customFormat="1" ht="17.25" thickBot="1" x14ac:dyDescent="0.35">
      <c r="A37" s="1304"/>
      <c r="B37" s="1374" t="s">
        <v>704</v>
      </c>
      <c r="C37" s="1374"/>
      <c r="D37" s="852">
        <f>SUM(D34:D36)</f>
        <v>9000000</v>
      </c>
      <c r="E37" s="879">
        <v>0</v>
      </c>
      <c r="F37" s="852">
        <f>SUM(F34:F36)</f>
        <v>7500000</v>
      </c>
      <c r="G37" s="764">
        <f t="shared" si="3"/>
        <v>-1500000</v>
      </c>
      <c r="H37" s="842">
        <f t="shared" si="5"/>
        <v>-0.16666666666666666</v>
      </c>
      <c r="I37" s="42"/>
    </row>
    <row r="38" spans="1:9" s="4" customFormat="1" x14ac:dyDescent="0.3">
      <c r="A38" s="1302" t="s">
        <v>170</v>
      </c>
      <c r="B38" s="1308" t="s">
        <v>171</v>
      </c>
      <c r="C38" s="149" t="s">
        <v>9</v>
      </c>
      <c r="D38" s="839">
        <v>65000000</v>
      </c>
      <c r="E38" s="873">
        <v>89736513</v>
      </c>
      <c r="F38" s="839">
        <v>89736513</v>
      </c>
      <c r="G38" s="712">
        <f t="shared" si="3"/>
        <v>24736513</v>
      </c>
      <c r="H38" s="836">
        <f t="shared" si="5"/>
        <v>0.38056173846153846</v>
      </c>
      <c r="I38" s="74"/>
    </row>
    <row r="39" spans="1:9" s="4" customFormat="1" ht="18" customHeight="1" x14ac:dyDescent="0.3">
      <c r="A39" s="1303"/>
      <c r="B39" s="1288"/>
      <c r="C39" s="763" t="s">
        <v>174</v>
      </c>
      <c r="D39" s="853">
        <v>40000000</v>
      </c>
      <c r="E39" s="880">
        <v>56281223</v>
      </c>
      <c r="F39" s="853">
        <v>56281223</v>
      </c>
      <c r="G39" s="712">
        <f t="shared" si="3"/>
        <v>16281223</v>
      </c>
      <c r="H39" s="836">
        <f t="shared" si="5"/>
        <v>0.40703057500000001</v>
      </c>
      <c r="I39" s="239"/>
    </row>
    <row r="40" spans="1:9" s="4" customFormat="1" ht="17.25" thickBot="1" x14ac:dyDescent="0.35">
      <c r="A40" s="1304"/>
      <c r="B40" s="1374" t="s">
        <v>704</v>
      </c>
      <c r="C40" s="1374"/>
      <c r="D40" s="846">
        <f>SUM(D38:D39)</f>
        <v>105000000</v>
      </c>
      <c r="E40" s="876">
        <v>146017736</v>
      </c>
      <c r="F40" s="846">
        <f>SUM(F38:F39)</f>
        <v>146017736</v>
      </c>
      <c r="G40" s="854">
        <f t="shared" si="3"/>
        <v>41017736</v>
      </c>
      <c r="H40" s="855">
        <f t="shared" si="5"/>
        <v>0.39064510476190478</v>
      </c>
      <c r="I40" s="81"/>
    </row>
    <row r="41" spans="1:9" s="4" customFormat="1" x14ac:dyDescent="0.3">
      <c r="A41" s="1456" t="s">
        <v>172</v>
      </c>
      <c r="B41" s="1323" t="s">
        <v>172</v>
      </c>
      <c r="C41" s="759" t="s">
        <v>346</v>
      </c>
      <c r="D41" s="713">
        <v>0</v>
      </c>
      <c r="E41" s="871">
        <v>0</v>
      </c>
      <c r="F41" s="856">
        <v>0</v>
      </c>
      <c r="G41" s="857">
        <f t="shared" si="3"/>
        <v>0</v>
      </c>
      <c r="H41" s="858"/>
      <c r="I41" s="79"/>
    </row>
    <row r="42" spans="1:9" s="4" customFormat="1" x14ac:dyDescent="0.3">
      <c r="A42" s="1457"/>
      <c r="B42" s="1289"/>
      <c r="C42" s="761" t="s">
        <v>173</v>
      </c>
      <c r="D42" s="848">
        <v>500000</v>
      </c>
      <c r="E42" s="877">
        <v>188525</v>
      </c>
      <c r="F42" s="848">
        <v>416264</v>
      </c>
      <c r="G42" s="35">
        <f t="shared" si="3"/>
        <v>-83736</v>
      </c>
      <c r="H42" s="836">
        <f t="shared" si="5"/>
        <v>-0.16747200000000001</v>
      </c>
      <c r="I42" s="83"/>
    </row>
    <row r="43" spans="1:9" s="4" customFormat="1" x14ac:dyDescent="0.3">
      <c r="A43" s="1457"/>
      <c r="B43" s="1289"/>
      <c r="C43" s="761" t="s">
        <v>175</v>
      </c>
      <c r="D43" s="844">
        <v>0</v>
      </c>
      <c r="E43" s="875">
        <v>0</v>
      </c>
      <c r="F43" s="844">
        <v>0</v>
      </c>
      <c r="G43" s="712">
        <f t="shared" si="3"/>
        <v>0</v>
      </c>
      <c r="H43" s="836"/>
      <c r="I43" s="83"/>
    </row>
    <row r="44" spans="1:9" s="4" customFormat="1" x14ac:dyDescent="0.3">
      <c r="A44" s="1457"/>
      <c r="B44" s="1289"/>
      <c r="C44" s="761" t="s">
        <v>10</v>
      </c>
      <c r="D44" s="844">
        <v>21370000</v>
      </c>
      <c r="E44" s="875">
        <v>11893895</v>
      </c>
      <c r="F44" s="844">
        <v>18280000</v>
      </c>
      <c r="G44" s="35">
        <f t="shared" si="3"/>
        <v>-3090000</v>
      </c>
      <c r="H44" s="836">
        <f t="shared" si="5"/>
        <v>-0.14459522695367338</v>
      </c>
      <c r="I44" s="514" t="s">
        <v>434</v>
      </c>
    </row>
    <row r="45" spans="1:9" s="4" customFormat="1" ht="17.25" thickBot="1" x14ac:dyDescent="0.35">
      <c r="A45" s="1458"/>
      <c r="B45" s="1374" t="s">
        <v>704</v>
      </c>
      <c r="C45" s="1374"/>
      <c r="D45" s="846">
        <f>SUM(D42:D44)</f>
        <v>21870000</v>
      </c>
      <c r="E45" s="876">
        <v>12082420</v>
      </c>
      <c r="F45" s="846">
        <f>SUM(F42:F44)</f>
        <v>18696264</v>
      </c>
      <c r="G45" s="605">
        <f t="shared" si="3"/>
        <v>-3173736</v>
      </c>
      <c r="H45" s="855">
        <f t="shared" si="5"/>
        <v>-0.14511824417009603</v>
      </c>
      <c r="I45" s="81"/>
    </row>
    <row r="46" spans="1:9" s="4" customFormat="1" ht="18" customHeight="1" x14ac:dyDescent="0.3">
      <c r="A46" s="1325" t="s">
        <v>176</v>
      </c>
      <c r="B46" s="1288" t="s">
        <v>177</v>
      </c>
      <c r="C46" s="760" t="s">
        <v>178</v>
      </c>
      <c r="D46" s="711">
        <v>0</v>
      </c>
      <c r="E46" s="870">
        <v>0</v>
      </c>
      <c r="F46" s="711">
        <v>0</v>
      </c>
      <c r="G46" s="712">
        <f t="shared" si="3"/>
        <v>0</v>
      </c>
      <c r="H46" s="836"/>
      <c r="I46" s="240"/>
    </row>
    <row r="47" spans="1:9" s="4" customFormat="1" ht="18" customHeight="1" x14ac:dyDescent="0.3">
      <c r="A47" s="1326"/>
      <c r="B47" s="1289"/>
      <c r="C47" s="320" t="s">
        <v>179</v>
      </c>
      <c r="D47" s="714">
        <v>0</v>
      </c>
      <c r="E47" s="872">
        <v>0</v>
      </c>
      <c r="F47" s="714">
        <v>0</v>
      </c>
      <c r="G47" s="712">
        <f t="shared" si="3"/>
        <v>0</v>
      </c>
      <c r="H47" s="836"/>
      <c r="I47" s="83"/>
    </row>
    <row r="48" spans="1:9" s="4" customFormat="1" ht="17.25" thickBot="1" x14ac:dyDescent="0.35">
      <c r="A48" s="1459"/>
      <c r="B48" s="1374" t="s">
        <v>704</v>
      </c>
      <c r="C48" s="1374"/>
      <c r="D48" s="859">
        <f>SUM(D46:D47)</f>
        <v>0</v>
      </c>
      <c r="E48" s="883">
        <v>0</v>
      </c>
      <c r="F48" s="859">
        <f t="shared" ref="F48" si="6">SUM(F46:F47)</f>
        <v>0</v>
      </c>
      <c r="G48" s="841">
        <f t="shared" si="3"/>
        <v>0</v>
      </c>
      <c r="H48" s="860"/>
      <c r="I48" s="135"/>
    </row>
    <row r="49" spans="1:9" ht="17.25" thickBot="1" x14ac:dyDescent="0.35">
      <c r="A49" s="1391" t="s">
        <v>717</v>
      </c>
      <c r="B49" s="1392"/>
      <c r="C49" s="1393"/>
      <c r="D49" s="861">
        <f>SUM(D22,D27,D30,D37,D40,D45,D48)</f>
        <v>2160000000</v>
      </c>
      <c r="E49" s="881">
        <v>2147919191</v>
      </c>
      <c r="F49" s="861">
        <f t="shared" ref="F49" si="7">SUM(F22,F27,F30,F37,F40,F45,F48)</f>
        <v>2238000000</v>
      </c>
      <c r="G49" s="861">
        <f t="shared" si="3"/>
        <v>78000000</v>
      </c>
      <c r="H49" s="523">
        <f>G49/D49*100%</f>
        <v>3.6111111111111108E-2</v>
      </c>
      <c r="I49" s="78"/>
    </row>
    <row r="50" spans="1:9" ht="18" customHeight="1" thickBot="1" x14ac:dyDescent="0.35">
      <c r="A50" s="1444" t="s">
        <v>620</v>
      </c>
      <c r="B50" s="1445"/>
      <c r="C50" s="1445"/>
      <c r="D50" s="1445"/>
      <c r="E50" s="1445"/>
      <c r="F50" s="1445"/>
      <c r="G50" s="1445"/>
      <c r="H50" s="1445"/>
      <c r="I50" s="1445"/>
    </row>
    <row r="51" spans="1:9" ht="17.25" customHeight="1" x14ac:dyDescent="0.3">
      <c r="A51" s="1314" t="s">
        <v>29</v>
      </c>
      <c r="B51" s="1315"/>
      <c r="C51" s="1315"/>
      <c r="D51" s="1273" t="s">
        <v>237</v>
      </c>
      <c r="E51" s="1273" t="s">
        <v>395</v>
      </c>
      <c r="F51" s="1273" t="s">
        <v>236</v>
      </c>
      <c r="G51" s="1273" t="s">
        <v>59</v>
      </c>
      <c r="H51" s="1275" t="s">
        <v>49</v>
      </c>
      <c r="I51" s="1277" t="s">
        <v>61</v>
      </c>
    </row>
    <row r="52" spans="1:9" ht="17.25" customHeight="1" thickBot="1" x14ac:dyDescent="0.35">
      <c r="A52" s="84" t="s">
        <v>0</v>
      </c>
      <c r="B52" s="136" t="s">
        <v>1</v>
      </c>
      <c r="C52" s="136" t="s">
        <v>2</v>
      </c>
      <c r="D52" s="1274"/>
      <c r="E52" s="1274"/>
      <c r="F52" s="1274"/>
      <c r="G52" s="1274"/>
      <c r="H52" s="1276"/>
      <c r="I52" s="1278"/>
    </row>
    <row r="53" spans="1:9" s="4" customFormat="1" ht="17.25" customHeight="1" x14ac:dyDescent="0.3">
      <c r="A53" s="159" t="s">
        <v>185</v>
      </c>
      <c r="B53" s="1323" t="s">
        <v>186</v>
      </c>
      <c r="C53" s="536" t="s">
        <v>17</v>
      </c>
      <c r="D53" s="607">
        <v>648211000</v>
      </c>
      <c r="E53" s="892">
        <v>593067030</v>
      </c>
      <c r="F53" s="607">
        <v>651946000</v>
      </c>
      <c r="G53" s="155">
        <f>F53-D53</f>
        <v>3735000</v>
      </c>
      <c r="H53" s="453">
        <f>G53/D53*100%</f>
        <v>5.7620126779705993E-3</v>
      </c>
      <c r="I53" s="544"/>
    </row>
    <row r="54" spans="1:9" s="4" customFormat="1" x14ac:dyDescent="0.3">
      <c r="A54" s="64"/>
      <c r="B54" s="1289"/>
      <c r="C54" s="150" t="s">
        <v>32</v>
      </c>
      <c r="D54" s="608">
        <v>148224000</v>
      </c>
      <c r="E54" s="893">
        <v>137916900</v>
      </c>
      <c r="F54" s="608">
        <v>159315000</v>
      </c>
      <c r="G54" s="36">
        <f t="shared" ref="G54:G76" si="8">F54-D54</f>
        <v>11091000</v>
      </c>
      <c r="H54" s="130">
        <f t="shared" ref="H54:H76" si="9">G54/D54*100%</f>
        <v>7.4825939119170987E-2</v>
      </c>
      <c r="I54" s="643" t="s">
        <v>433</v>
      </c>
    </row>
    <row r="55" spans="1:9" s="4" customFormat="1" x14ac:dyDescent="0.3">
      <c r="A55" s="64"/>
      <c r="B55" s="1289"/>
      <c r="C55" s="150" t="s">
        <v>180</v>
      </c>
      <c r="D55" s="608">
        <v>2000000</v>
      </c>
      <c r="E55" s="893">
        <v>0</v>
      </c>
      <c r="F55" s="608">
        <v>0</v>
      </c>
      <c r="G55" s="35">
        <f t="shared" si="8"/>
        <v>-2000000</v>
      </c>
      <c r="H55" s="130">
        <f t="shared" si="9"/>
        <v>-1</v>
      </c>
      <c r="I55" s="37"/>
    </row>
    <row r="56" spans="1:9" s="4" customFormat="1" ht="15.75" customHeight="1" x14ac:dyDescent="0.3">
      <c r="A56" s="64"/>
      <c r="B56" s="1289"/>
      <c r="C56" s="150" t="s">
        <v>181</v>
      </c>
      <c r="D56" s="608">
        <v>66430000</v>
      </c>
      <c r="E56" s="893">
        <v>65464380</v>
      </c>
      <c r="F56" s="608">
        <v>73050000</v>
      </c>
      <c r="G56" s="36">
        <f t="shared" si="8"/>
        <v>6620000</v>
      </c>
      <c r="H56" s="130">
        <f t="shared" si="9"/>
        <v>9.9653770886647605E-2</v>
      </c>
      <c r="I56" s="643" t="s">
        <v>432</v>
      </c>
    </row>
    <row r="57" spans="1:9" s="4" customFormat="1" ht="16.5" customHeight="1" x14ac:dyDescent="0.3">
      <c r="A57" s="64"/>
      <c r="B57" s="1289"/>
      <c r="C57" s="150" t="s">
        <v>33</v>
      </c>
      <c r="D57" s="608">
        <v>80912000</v>
      </c>
      <c r="E57" s="893">
        <v>63512110</v>
      </c>
      <c r="F57" s="608">
        <v>81786000</v>
      </c>
      <c r="G57" s="36">
        <f t="shared" si="8"/>
        <v>874000</v>
      </c>
      <c r="H57" s="130">
        <f t="shared" si="9"/>
        <v>1.0801858809570892E-2</v>
      </c>
      <c r="I57" s="37"/>
    </row>
    <row r="58" spans="1:9" s="4" customFormat="1" ht="16.5" customHeight="1" x14ac:dyDescent="0.3">
      <c r="A58" s="64"/>
      <c r="B58" s="1289"/>
      <c r="C58" s="150" t="s">
        <v>18</v>
      </c>
      <c r="D58" s="608">
        <v>9120000</v>
      </c>
      <c r="E58" s="893">
        <v>4810000</v>
      </c>
      <c r="F58" s="608">
        <v>9620000</v>
      </c>
      <c r="G58" s="36">
        <f t="shared" si="8"/>
        <v>500000</v>
      </c>
      <c r="H58" s="130">
        <f t="shared" si="9"/>
        <v>5.4824561403508769E-2</v>
      </c>
      <c r="I58" s="37"/>
    </row>
    <row r="59" spans="1:9" s="4" customFormat="1" ht="17.25" thickBot="1" x14ac:dyDescent="0.35">
      <c r="A59" s="64"/>
      <c r="B59" s="1324"/>
      <c r="C59" s="939" t="s">
        <v>725</v>
      </c>
      <c r="D59" s="800">
        <f>SUM(D53:D58)</f>
        <v>954897000</v>
      </c>
      <c r="E59" s="897">
        <v>864770420</v>
      </c>
      <c r="F59" s="800">
        <f>SUM(F53:F58)</f>
        <v>975717000</v>
      </c>
      <c r="G59" s="520">
        <f t="shared" si="8"/>
        <v>20820000</v>
      </c>
      <c r="H59" s="540">
        <f t="shared" si="9"/>
        <v>2.1803398691167739E-2</v>
      </c>
      <c r="I59" s="41"/>
    </row>
    <row r="60" spans="1:9" s="4" customFormat="1" ht="17.100000000000001" customHeight="1" x14ac:dyDescent="0.3">
      <c r="A60" s="64"/>
      <c r="B60" s="1323" t="s">
        <v>187</v>
      </c>
      <c r="C60" s="149" t="s">
        <v>19</v>
      </c>
      <c r="D60" s="604">
        <v>4800000</v>
      </c>
      <c r="E60" s="892">
        <v>1550520</v>
      </c>
      <c r="F60" s="604">
        <v>4800000</v>
      </c>
      <c r="G60" s="155">
        <f t="shared" si="8"/>
        <v>0</v>
      </c>
      <c r="H60" s="453">
        <f t="shared" si="9"/>
        <v>0</v>
      </c>
      <c r="I60" s="544"/>
    </row>
    <row r="61" spans="1:9" s="4" customFormat="1" ht="17.100000000000001" customHeight="1" x14ac:dyDescent="0.3">
      <c r="A61" s="64"/>
      <c r="B61" s="1289"/>
      <c r="C61" s="219" t="s">
        <v>182</v>
      </c>
      <c r="D61" s="608">
        <v>0</v>
      </c>
      <c r="E61" s="893">
        <v>0</v>
      </c>
      <c r="F61" s="608">
        <v>0</v>
      </c>
      <c r="G61" s="36">
        <f t="shared" si="8"/>
        <v>0</v>
      </c>
      <c r="H61" s="130"/>
      <c r="I61" s="37"/>
    </row>
    <row r="62" spans="1:9" s="4" customFormat="1" x14ac:dyDescent="0.3">
      <c r="A62" s="64"/>
      <c r="B62" s="1289"/>
      <c r="C62" s="150" t="s">
        <v>20</v>
      </c>
      <c r="D62" s="608">
        <v>5200000</v>
      </c>
      <c r="E62" s="893">
        <v>1564520</v>
      </c>
      <c r="F62" s="608">
        <v>5200000</v>
      </c>
      <c r="G62" s="36">
        <f t="shared" si="8"/>
        <v>0</v>
      </c>
      <c r="H62" s="130">
        <f t="shared" si="9"/>
        <v>0</v>
      </c>
      <c r="I62" s="37"/>
    </row>
    <row r="63" spans="1:9" s="4" customFormat="1" ht="17.25" thickBot="1" x14ac:dyDescent="0.35">
      <c r="A63" s="64"/>
      <c r="B63" s="1324"/>
      <c r="C63" s="939" t="s">
        <v>725</v>
      </c>
      <c r="D63" s="800">
        <f>SUM(D60:D62)</f>
        <v>10000000</v>
      </c>
      <c r="E63" s="897">
        <v>3115040</v>
      </c>
      <c r="F63" s="800">
        <f>SUM(F60:F62)</f>
        <v>10000000</v>
      </c>
      <c r="G63" s="520">
        <f t="shared" si="8"/>
        <v>0</v>
      </c>
      <c r="H63" s="540">
        <f t="shared" si="9"/>
        <v>0</v>
      </c>
      <c r="I63" s="41"/>
    </row>
    <row r="64" spans="1:9" s="4" customFormat="1" x14ac:dyDescent="0.3">
      <c r="A64" s="64"/>
      <c r="B64" s="1323" t="s">
        <v>188</v>
      </c>
      <c r="C64" s="536" t="s">
        <v>21</v>
      </c>
      <c r="D64" s="607">
        <v>360000</v>
      </c>
      <c r="E64" s="898">
        <v>0</v>
      </c>
      <c r="F64" s="607">
        <v>360000</v>
      </c>
      <c r="G64" s="155">
        <f t="shared" si="8"/>
        <v>0</v>
      </c>
      <c r="H64" s="453">
        <f t="shared" si="9"/>
        <v>0</v>
      </c>
      <c r="I64" s="544"/>
    </row>
    <row r="65" spans="1:9" s="4" customFormat="1" ht="16.5" customHeight="1" x14ac:dyDescent="0.3">
      <c r="A65" s="64"/>
      <c r="B65" s="1289"/>
      <c r="C65" s="150" t="s">
        <v>34</v>
      </c>
      <c r="D65" s="609">
        <v>35452000</v>
      </c>
      <c r="E65" s="894">
        <v>24520233</v>
      </c>
      <c r="F65" s="609">
        <v>33452000</v>
      </c>
      <c r="G65" s="35">
        <f t="shared" si="8"/>
        <v>-2000000</v>
      </c>
      <c r="H65" s="130">
        <f t="shared" si="9"/>
        <v>-5.6414306668171051E-2</v>
      </c>
      <c r="I65" s="37"/>
    </row>
    <row r="66" spans="1:9" s="4" customFormat="1" x14ac:dyDescent="0.3">
      <c r="A66" s="64"/>
      <c r="B66" s="1289"/>
      <c r="C66" s="150" t="s">
        <v>23</v>
      </c>
      <c r="D66" s="609">
        <v>58026000</v>
      </c>
      <c r="E66" s="890">
        <v>43169340</v>
      </c>
      <c r="F66" s="609">
        <v>58026000</v>
      </c>
      <c r="G66" s="36">
        <f t="shared" si="8"/>
        <v>0</v>
      </c>
      <c r="H66" s="130">
        <f t="shared" si="9"/>
        <v>0</v>
      </c>
      <c r="I66" s="37"/>
    </row>
    <row r="67" spans="1:9" s="4" customFormat="1" ht="17.100000000000001" customHeight="1" x14ac:dyDescent="0.3">
      <c r="A67" s="64"/>
      <c r="B67" s="1289"/>
      <c r="C67" s="150" t="s">
        <v>24</v>
      </c>
      <c r="D67" s="609">
        <v>14284000</v>
      </c>
      <c r="E67" s="890">
        <v>12727720</v>
      </c>
      <c r="F67" s="609">
        <v>14284000</v>
      </c>
      <c r="G67" s="36">
        <f t="shared" si="8"/>
        <v>0</v>
      </c>
      <c r="H67" s="130">
        <f t="shared" si="9"/>
        <v>0</v>
      </c>
      <c r="I67" s="37"/>
    </row>
    <row r="68" spans="1:9" s="4" customFormat="1" x14ac:dyDescent="0.3">
      <c r="A68" s="99"/>
      <c r="B68" s="1289"/>
      <c r="C68" s="150" t="s">
        <v>35</v>
      </c>
      <c r="D68" s="610">
        <v>6900000</v>
      </c>
      <c r="E68" s="894">
        <v>2392182</v>
      </c>
      <c r="F68" s="610">
        <v>6900000</v>
      </c>
      <c r="G68" s="133">
        <f t="shared" si="8"/>
        <v>0</v>
      </c>
      <c r="H68" s="130">
        <f t="shared" si="9"/>
        <v>0</v>
      </c>
      <c r="I68" s="76"/>
    </row>
    <row r="69" spans="1:9" s="4" customFormat="1" x14ac:dyDescent="0.3">
      <c r="A69" s="99"/>
      <c r="B69" s="1289"/>
      <c r="C69" s="1072" t="s">
        <v>711</v>
      </c>
      <c r="D69" s="597">
        <v>0</v>
      </c>
      <c r="E69" s="890">
        <v>0</v>
      </c>
      <c r="F69" s="597">
        <v>0</v>
      </c>
      <c r="G69" s="66">
        <f t="shared" si="8"/>
        <v>0</v>
      </c>
      <c r="H69" s="130"/>
      <c r="I69" s="83"/>
    </row>
    <row r="70" spans="1:9" s="4" customFormat="1" ht="17.100000000000001" customHeight="1" x14ac:dyDescent="0.3">
      <c r="A70" s="99"/>
      <c r="B70" s="1289"/>
      <c r="C70" s="763" t="s">
        <v>36</v>
      </c>
      <c r="D70" s="597">
        <v>36900000</v>
      </c>
      <c r="E70" s="890">
        <v>17431140</v>
      </c>
      <c r="F70" s="597">
        <v>36600000</v>
      </c>
      <c r="G70" s="44">
        <f t="shared" si="8"/>
        <v>-300000</v>
      </c>
      <c r="H70" s="130">
        <f t="shared" si="9"/>
        <v>-8.130081300813009E-3</v>
      </c>
      <c r="I70" s="83"/>
    </row>
    <row r="71" spans="1:9" s="4" customFormat="1" ht="17.25" thickBot="1" x14ac:dyDescent="0.35">
      <c r="A71" s="99"/>
      <c r="B71" s="1324"/>
      <c r="C71" s="939" t="s">
        <v>725</v>
      </c>
      <c r="D71" s="801">
        <f>SUM(D64:D70)</f>
        <v>151922000</v>
      </c>
      <c r="E71" s="899">
        <v>100240615</v>
      </c>
      <c r="F71" s="801">
        <f>SUM(F64:F70)</f>
        <v>149622000</v>
      </c>
      <c r="G71" s="605">
        <f t="shared" si="8"/>
        <v>-2300000</v>
      </c>
      <c r="H71" s="540">
        <f t="shared" si="9"/>
        <v>-1.5139347823225076E-2</v>
      </c>
      <c r="I71" s="42"/>
    </row>
    <row r="72" spans="1:9" s="4" customFormat="1" ht="17.25" thickBot="1" x14ac:dyDescent="0.35">
      <c r="A72" s="137" t="s">
        <v>123</v>
      </c>
      <c r="B72" s="1321" t="s">
        <v>572</v>
      </c>
      <c r="C72" s="1322"/>
      <c r="D72" s="799">
        <f>SUM(D59,D63,D71)</f>
        <v>1116819000</v>
      </c>
      <c r="E72" s="901">
        <v>968126075</v>
      </c>
      <c r="F72" s="799">
        <f>SUM(F59,F63,F71)</f>
        <v>1135339000</v>
      </c>
      <c r="G72" s="520">
        <f t="shared" si="8"/>
        <v>18520000</v>
      </c>
      <c r="H72" s="540">
        <f t="shared" si="9"/>
        <v>1.6582812434244046E-2</v>
      </c>
      <c r="I72" s="41"/>
    </row>
    <row r="73" spans="1:9" s="4" customFormat="1" x14ac:dyDescent="0.3">
      <c r="A73" s="1325" t="s">
        <v>189</v>
      </c>
      <c r="B73" s="1288" t="s">
        <v>190</v>
      </c>
      <c r="C73" s="151" t="s">
        <v>11</v>
      </c>
      <c r="D73" s="803">
        <v>15000000</v>
      </c>
      <c r="E73" s="891">
        <v>9043710</v>
      </c>
      <c r="F73" s="803">
        <v>20000000</v>
      </c>
      <c r="G73" s="583">
        <f t="shared" si="8"/>
        <v>5000000</v>
      </c>
      <c r="H73" s="130">
        <f t="shared" si="9"/>
        <v>0.33333333333333331</v>
      </c>
      <c r="I73" s="643" t="s">
        <v>439</v>
      </c>
    </row>
    <row r="74" spans="1:9" s="4" customFormat="1" x14ac:dyDescent="0.3">
      <c r="A74" s="1325"/>
      <c r="B74" s="1288"/>
      <c r="C74" s="480" t="s">
        <v>333</v>
      </c>
      <c r="D74" s="460">
        <v>0</v>
      </c>
      <c r="E74" s="885">
        <v>0</v>
      </c>
      <c r="F74" s="460">
        <v>0</v>
      </c>
      <c r="G74" s="36">
        <f t="shared" si="8"/>
        <v>0</v>
      </c>
      <c r="H74" s="130"/>
      <c r="I74" s="37"/>
    </row>
    <row r="75" spans="1:9" s="4" customFormat="1" ht="16.5" customHeight="1" x14ac:dyDescent="0.3">
      <c r="A75" s="1326"/>
      <c r="B75" s="1289"/>
      <c r="C75" s="146" t="s">
        <v>37</v>
      </c>
      <c r="D75" s="802">
        <v>190091000</v>
      </c>
      <c r="E75" s="890">
        <v>95852630</v>
      </c>
      <c r="F75" s="802">
        <v>202088000</v>
      </c>
      <c r="G75" s="36">
        <f t="shared" si="8"/>
        <v>11997000</v>
      </c>
      <c r="H75" s="130">
        <f t="shared" si="9"/>
        <v>6.3111877995275942E-2</v>
      </c>
      <c r="I75" s="37"/>
    </row>
    <row r="76" spans="1:9" s="4" customFormat="1" ht="15.95" customHeight="1" thickBot="1" x14ac:dyDescent="0.35">
      <c r="A76" s="1327"/>
      <c r="B76" s="1300" t="s">
        <v>572</v>
      </c>
      <c r="C76" s="1301"/>
      <c r="D76" s="569">
        <f>SUM(D73:D75)</f>
        <v>205091000</v>
      </c>
      <c r="E76" s="888">
        <v>104896340</v>
      </c>
      <c r="F76" s="569">
        <f>SUM(F73:F75)</f>
        <v>222088000</v>
      </c>
      <c r="G76" s="520">
        <f t="shared" si="8"/>
        <v>16997000</v>
      </c>
      <c r="H76" s="572">
        <f t="shared" si="9"/>
        <v>8.2875406526858805E-2</v>
      </c>
      <c r="I76" s="42"/>
    </row>
    <row r="77" spans="1:9" s="4" customFormat="1" ht="15.95" customHeight="1" x14ac:dyDescent="0.3">
      <c r="A77" s="1302" t="s">
        <v>272</v>
      </c>
      <c r="B77" s="1306" t="s">
        <v>131</v>
      </c>
      <c r="C77" s="229" t="s">
        <v>132</v>
      </c>
      <c r="D77" s="221"/>
      <c r="E77" s="885">
        <v>0</v>
      </c>
      <c r="F77" s="221"/>
      <c r="G77" s="69">
        <f t="shared" ref="G77:G117" si="10">F77-D77</f>
        <v>0</v>
      </c>
      <c r="H77" s="130"/>
      <c r="I77" s="240"/>
    </row>
    <row r="78" spans="1:9" s="4" customFormat="1" ht="15.95" customHeight="1" x14ac:dyDescent="0.3">
      <c r="A78" s="1303"/>
      <c r="B78" s="1306"/>
      <c r="C78" s="229" t="s">
        <v>133</v>
      </c>
      <c r="D78" s="221"/>
      <c r="E78" s="885">
        <v>0</v>
      </c>
      <c r="F78" s="221"/>
      <c r="G78" s="66">
        <f t="shared" si="10"/>
        <v>0</v>
      </c>
      <c r="H78" s="130"/>
      <c r="I78" s="240"/>
    </row>
    <row r="79" spans="1:9" s="4" customFormat="1" ht="15.95" customHeight="1" x14ac:dyDescent="0.3">
      <c r="A79" s="1303"/>
      <c r="B79" s="1306"/>
      <c r="C79" s="229" t="s">
        <v>194</v>
      </c>
      <c r="D79" s="221"/>
      <c r="E79" s="885">
        <v>0</v>
      </c>
      <c r="F79" s="221"/>
      <c r="G79" s="66">
        <f t="shared" si="10"/>
        <v>0</v>
      </c>
      <c r="H79" s="130"/>
      <c r="I79" s="240"/>
    </row>
    <row r="80" spans="1:9" s="4" customFormat="1" ht="15.95" customHeight="1" x14ac:dyDescent="0.3">
      <c r="A80" s="1303"/>
      <c r="B80" s="1306"/>
      <c r="C80" s="230" t="s">
        <v>134</v>
      </c>
      <c r="D80" s="44"/>
      <c r="E80" s="884">
        <v>0</v>
      </c>
      <c r="F80" s="44"/>
      <c r="G80" s="66">
        <f t="shared" si="10"/>
        <v>0</v>
      </c>
      <c r="H80" s="130"/>
      <c r="I80" s="83"/>
    </row>
    <row r="81" spans="1:9" s="4" customFormat="1" ht="15.95" customHeight="1" x14ac:dyDescent="0.3">
      <c r="A81" s="1303"/>
      <c r="B81" s="1306"/>
      <c r="C81" s="230" t="s">
        <v>195</v>
      </c>
      <c r="D81" s="44"/>
      <c r="E81" s="884">
        <v>0</v>
      </c>
      <c r="F81" s="44"/>
      <c r="G81" s="66">
        <f t="shared" si="10"/>
        <v>0</v>
      </c>
      <c r="H81" s="130"/>
      <c r="I81" s="83"/>
    </row>
    <row r="82" spans="1:9" s="4" customFormat="1" ht="15.95" customHeight="1" thickBot="1" x14ac:dyDescent="0.35">
      <c r="A82" s="1303"/>
      <c r="B82" s="1462"/>
      <c r="C82" s="939" t="s">
        <v>725</v>
      </c>
      <c r="D82" s="66">
        <f>SUM(D77:D81)</f>
        <v>0</v>
      </c>
      <c r="E82" s="895">
        <v>0</v>
      </c>
      <c r="F82" s="66">
        <f t="shared" ref="F82" si="11">SUM(F77:F81)</f>
        <v>0</v>
      </c>
      <c r="G82" s="66">
        <f t="shared" si="10"/>
        <v>0</v>
      </c>
      <c r="H82" s="130"/>
      <c r="I82" s="83"/>
    </row>
    <row r="83" spans="1:9" s="4" customFormat="1" ht="17.25" customHeight="1" x14ac:dyDescent="0.3">
      <c r="A83" s="1303"/>
      <c r="B83" s="1309" t="s">
        <v>273</v>
      </c>
      <c r="C83" s="227" t="s">
        <v>164</v>
      </c>
      <c r="D83" s="597">
        <v>25050000</v>
      </c>
      <c r="E83" s="890">
        <v>10534029</v>
      </c>
      <c r="F83" s="597">
        <v>28100000</v>
      </c>
      <c r="G83" s="66">
        <f t="shared" si="10"/>
        <v>3050000</v>
      </c>
      <c r="H83" s="130">
        <f t="shared" ref="H83:H117" si="12">G83/D83*100%</f>
        <v>0.1217564870259481</v>
      </c>
      <c r="I83" s="514" t="s">
        <v>440</v>
      </c>
    </row>
    <row r="84" spans="1:9" s="4" customFormat="1" ht="33" customHeight="1" x14ac:dyDescent="0.3">
      <c r="A84" s="1303"/>
      <c r="B84" s="1309"/>
      <c r="C84" s="227" t="s">
        <v>191</v>
      </c>
      <c r="D84" s="597">
        <v>689116000</v>
      </c>
      <c r="E84" s="890">
        <v>562440351</v>
      </c>
      <c r="F84" s="597">
        <v>733626000</v>
      </c>
      <c r="G84" s="66">
        <f t="shared" si="10"/>
        <v>44510000</v>
      </c>
      <c r="H84" s="130">
        <f t="shared" si="12"/>
        <v>6.458999645923183E-2</v>
      </c>
      <c r="I84" s="931" t="s">
        <v>441</v>
      </c>
    </row>
    <row r="85" spans="1:9" s="4" customFormat="1" ht="18" customHeight="1" x14ac:dyDescent="0.3">
      <c r="A85" s="1303"/>
      <c r="B85" s="1309"/>
      <c r="C85" s="227" t="s">
        <v>192</v>
      </c>
      <c r="D85" s="597">
        <v>105300000</v>
      </c>
      <c r="E85" s="890">
        <v>56468118</v>
      </c>
      <c r="F85" s="597">
        <v>80772000</v>
      </c>
      <c r="G85" s="44">
        <f t="shared" si="10"/>
        <v>-24528000</v>
      </c>
      <c r="H85" s="130">
        <f t="shared" si="12"/>
        <v>-0.23293447293447295</v>
      </c>
      <c r="I85" s="514" t="s">
        <v>442</v>
      </c>
    </row>
    <row r="86" spans="1:9" s="4" customFormat="1" ht="20.25" customHeight="1" x14ac:dyDescent="0.3">
      <c r="A86" s="1303"/>
      <c r="B86" s="1309"/>
      <c r="C86" s="227" t="s">
        <v>140</v>
      </c>
      <c r="D86" s="44"/>
      <c r="E86" s="884">
        <v>0</v>
      </c>
      <c r="F86" s="44"/>
      <c r="G86" s="66">
        <f t="shared" si="10"/>
        <v>0</v>
      </c>
      <c r="H86" s="130"/>
      <c r="I86" s="83"/>
    </row>
    <row r="87" spans="1:9" s="4" customFormat="1" ht="22.5" customHeight="1" x14ac:dyDescent="0.3">
      <c r="A87" s="1303"/>
      <c r="B87" s="1309"/>
      <c r="C87" s="227" t="s">
        <v>137</v>
      </c>
      <c r="D87" s="44"/>
      <c r="E87" s="884">
        <v>0</v>
      </c>
      <c r="F87" s="44"/>
      <c r="G87" s="66">
        <f t="shared" si="10"/>
        <v>0</v>
      </c>
      <c r="H87" s="130"/>
      <c r="I87" s="83"/>
    </row>
    <row r="88" spans="1:9" s="4" customFormat="1" ht="20.25" customHeight="1" x14ac:dyDescent="0.3">
      <c r="A88" s="1303"/>
      <c r="B88" s="1309"/>
      <c r="C88" s="227" t="s">
        <v>141</v>
      </c>
      <c r="D88" s="44"/>
      <c r="E88" s="884">
        <v>0</v>
      </c>
      <c r="F88" s="44"/>
      <c r="G88" s="66">
        <f t="shared" si="10"/>
        <v>0</v>
      </c>
      <c r="H88" s="130"/>
      <c r="I88" s="83"/>
    </row>
    <row r="89" spans="1:9" s="4" customFormat="1" ht="15" customHeight="1" x14ac:dyDescent="0.3">
      <c r="A89" s="1303"/>
      <c r="B89" s="1309"/>
      <c r="C89" s="227" t="s">
        <v>138</v>
      </c>
      <c r="D89" s="44"/>
      <c r="E89" s="884">
        <v>0</v>
      </c>
      <c r="F89" s="44"/>
      <c r="G89" s="66">
        <f t="shared" si="10"/>
        <v>0</v>
      </c>
      <c r="H89" s="130"/>
      <c r="I89" s="83"/>
    </row>
    <row r="90" spans="1:9" s="4" customFormat="1" ht="18" customHeight="1" x14ac:dyDescent="0.3">
      <c r="A90" s="1303"/>
      <c r="B90" s="1309"/>
      <c r="C90" s="227" t="s">
        <v>139</v>
      </c>
      <c r="D90" s="44"/>
      <c r="E90" s="884">
        <v>0</v>
      </c>
      <c r="F90" s="44"/>
      <c r="G90" s="66">
        <f t="shared" si="10"/>
        <v>0</v>
      </c>
      <c r="H90" s="130"/>
      <c r="I90" s="83"/>
    </row>
    <row r="91" spans="1:9" s="4" customFormat="1" ht="19.5" customHeight="1" x14ac:dyDescent="0.3">
      <c r="A91" s="1303"/>
      <c r="B91" s="1309"/>
      <c r="C91" s="227" t="s">
        <v>136</v>
      </c>
      <c r="D91" s="44"/>
      <c r="E91" s="884">
        <v>0</v>
      </c>
      <c r="F91" s="44"/>
      <c r="G91" s="66">
        <f t="shared" si="10"/>
        <v>0</v>
      </c>
      <c r="H91" s="130"/>
      <c r="I91" s="83"/>
    </row>
    <row r="92" spans="1:9" s="4" customFormat="1" x14ac:dyDescent="0.3">
      <c r="A92" s="1303"/>
      <c r="B92" s="1309"/>
      <c r="C92" s="227" t="s">
        <v>135</v>
      </c>
      <c r="D92" s="44"/>
      <c r="E92" s="884">
        <v>0</v>
      </c>
      <c r="F92" s="44"/>
      <c r="G92" s="66">
        <f t="shared" si="10"/>
        <v>0</v>
      </c>
      <c r="H92" s="130"/>
      <c r="I92" s="83"/>
    </row>
    <row r="93" spans="1:9" s="4" customFormat="1" x14ac:dyDescent="0.3">
      <c r="A93" s="1303"/>
      <c r="B93" s="1309"/>
      <c r="C93" s="227" t="s">
        <v>231</v>
      </c>
      <c r="D93" s="44"/>
      <c r="E93" s="884">
        <v>0</v>
      </c>
      <c r="F93" s="44"/>
      <c r="G93" s="66">
        <f t="shared" si="10"/>
        <v>0</v>
      </c>
      <c r="H93" s="130"/>
      <c r="I93" s="83"/>
    </row>
    <row r="94" spans="1:9" s="4" customFormat="1" x14ac:dyDescent="0.3">
      <c r="A94" s="1303"/>
      <c r="B94" s="1309"/>
      <c r="C94" s="227" t="s">
        <v>239</v>
      </c>
      <c r="D94" s="44"/>
      <c r="E94" s="884">
        <v>0</v>
      </c>
      <c r="F94" s="44"/>
      <c r="G94" s="66">
        <f t="shared" si="10"/>
        <v>0</v>
      </c>
      <c r="H94" s="130"/>
      <c r="I94" s="83"/>
    </row>
    <row r="95" spans="1:9" s="4" customFormat="1" x14ac:dyDescent="0.3">
      <c r="A95" s="1303"/>
      <c r="B95" s="1309"/>
      <c r="C95" s="227" t="s">
        <v>240</v>
      </c>
      <c r="D95" s="44"/>
      <c r="E95" s="884">
        <v>0</v>
      </c>
      <c r="F95" s="44"/>
      <c r="G95" s="66">
        <f t="shared" si="10"/>
        <v>0</v>
      </c>
      <c r="H95" s="130"/>
      <c r="I95" s="83"/>
    </row>
    <row r="96" spans="1:9" s="4" customFormat="1" x14ac:dyDescent="0.3">
      <c r="A96" s="1303"/>
      <c r="B96" s="1309"/>
      <c r="C96" s="227" t="s">
        <v>241</v>
      </c>
      <c r="D96" s="44"/>
      <c r="E96" s="884">
        <v>0</v>
      </c>
      <c r="F96" s="44"/>
      <c r="G96" s="66">
        <f t="shared" si="10"/>
        <v>0</v>
      </c>
      <c r="H96" s="130"/>
      <c r="I96" s="83"/>
    </row>
    <row r="97" spans="1:9" s="4" customFormat="1" x14ac:dyDescent="0.3">
      <c r="A97" s="1303"/>
      <c r="B97" s="1309"/>
      <c r="C97" s="227" t="s">
        <v>242</v>
      </c>
      <c r="D97" s="44"/>
      <c r="E97" s="884">
        <v>0</v>
      </c>
      <c r="F97" s="44"/>
      <c r="G97" s="66">
        <f t="shared" si="10"/>
        <v>0</v>
      </c>
      <c r="H97" s="130"/>
      <c r="I97" s="83"/>
    </row>
    <row r="98" spans="1:9" s="4" customFormat="1" x14ac:dyDescent="0.3">
      <c r="A98" s="1303"/>
      <c r="B98" s="1309"/>
      <c r="C98" s="227" t="s">
        <v>243</v>
      </c>
      <c r="D98" s="44"/>
      <c r="E98" s="884">
        <v>0</v>
      </c>
      <c r="F98" s="44"/>
      <c r="G98" s="66">
        <f t="shared" si="10"/>
        <v>0</v>
      </c>
      <c r="H98" s="130"/>
      <c r="I98" s="83"/>
    </row>
    <row r="99" spans="1:9" s="4" customFormat="1" x14ac:dyDescent="0.3">
      <c r="A99" s="1303"/>
      <c r="B99" s="1309"/>
      <c r="C99" s="227" t="s">
        <v>244</v>
      </c>
      <c r="D99" s="44"/>
      <c r="E99" s="884">
        <v>0</v>
      </c>
      <c r="F99" s="44"/>
      <c r="G99" s="66">
        <f t="shared" si="10"/>
        <v>0</v>
      </c>
      <c r="H99" s="130"/>
      <c r="I99" s="83"/>
    </row>
    <row r="100" spans="1:9" s="4" customFormat="1" x14ac:dyDescent="0.3">
      <c r="A100" s="1303"/>
      <c r="B100" s="1309"/>
      <c r="C100" s="227" t="s">
        <v>245</v>
      </c>
      <c r="D100" s="44"/>
      <c r="E100" s="884">
        <v>0</v>
      </c>
      <c r="F100" s="44"/>
      <c r="G100" s="66">
        <f t="shared" si="10"/>
        <v>0</v>
      </c>
      <c r="H100" s="130"/>
      <c r="I100" s="83"/>
    </row>
    <row r="101" spans="1:9" s="4" customFormat="1" x14ac:dyDescent="0.3">
      <c r="A101" s="1303"/>
      <c r="B101" s="1309"/>
      <c r="C101" s="227" t="s">
        <v>232</v>
      </c>
      <c r="D101" s="44"/>
      <c r="E101" s="884">
        <v>0</v>
      </c>
      <c r="F101" s="44"/>
      <c r="G101" s="66">
        <f t="shared" si="10"/>
        <v>0</v>
      </c>
      <c r="H101" s="130"/>
      <c r="I101" s="83"/>
    </row>
    <row r="102" spans="1:9" s="4" customFormat="1" x14ac:dyDescent="0.3">
      <c r="A102" s="1303"/>
      <c r="B102" s="1309"/>
      <c r="C102" s="227" t="s">
        <v>233</v>
      </c>
      <c r="D102" s="44"/>
      <c r="E102" s="884">
        <v>0</v>
      </c>
      <c r="F102" s="44"/>
      <c r="G102" s="66">
        <f t="shared" si="10"/>
        <v>0</v>
      </c>
      <c r="H102" s="130"/>
      <c r="I102" s="83"/>
    </row>
    <row r="103" spans="1:9" s="4" customFormat="1" x14ac:dyDescent="0.3">
      <c r="A103" s="1303"/>
      <c r="B103" s="1309"/>
      <c r="C103" s="227" t="s">
        <v>234</v>
      </c>
      <c r="D103" s="44"/>
      <c r="E103" s="884">
        <v>0</v>
      </c>
      <c r="F103" s="44"/>
      <c r="G103" s="66">
        <f t="shared" si="10"/>
        <v>0</v>
      </c>
      <c r="H103" s="130"/>
      <c r="I103" s="83"/>
    </row>
    <row r="104" spans="1:9" s="4" customFormat="1" x14ac:dyDescent="0.3">
      <c r="A104" s="1303"/>
      <c r="B104" s="1309"/>
      <c r="C104" s="227" t="s">
        <v>235</v>
      </c>
      <c r="D104" s="44"/>
      <c r="E104" s="884">
        <v>0</v>
      </c>
      <c r="F104" s="44"/>
      <c r="G104" s="66">
        <f t="shared" si="10"/>
        <v>0</v>
      </c>
      <c r="H104" s="130"/>
      <c r="I104" s="83"/>
    </row>
    <row r="105" spans="1:9" s="4" customFormat="1" ht="17.25" thickBot="1" x14ac:dyDescent="0.35">
      <c r="A105" s="1303"/>
      <c r="B105" s="1288"/>
      <c r="C105" s="939" t="s">
        <v>725</v>
      </c>
      <c r="D105" s="630">
        <f>SUM(D83:D104)</f>
        <v>819466000</v>
      </c>
      <c r="E105" s="895">
        <v>629442498</v>
      </c>
      <c r="F105" s="630">
        <f>SUM(F83:F104)</f>
        <v>842498000</v>
      </c>
      <c r="G105" s="630">
        <f t="shared" si="10"/>
        <v>23032000</v>
      </c>
      <c r="H105" s="654">
        <f t="shared" si="12"/>
        <v>2.8106108124071043E-2</v>
      </c>
      <c r="I105" s="83"/>
    </row>
    <row r="106" spans="1:9" s="4" customFormat="1" ht="17.25" thickBot="1" x14ac:dyDescent="0.35">
      <c r="A106" s="1304"/>
      <c r="B106" s="1374" t="s">
        <v>704</v>
      </c>
      <c r="C106" s="1374"/>
      <c r="D106" s="519">
        <f>SUM(D82,D105)</f>
        <v>819466000</v>
      </c>
      <c r="E106" s="887">
        <v>629442498</v>
      </c>
      <c r="F106" s="519">
        <f>SUM(F82,F105)</f>
        <v>842498000</v>
      </c>
      <c r="G106" s="520">
        <f t="shared" si="10"/>
        <v>23032000</v>
      </c>
      <c r="H106" s="660">
        <f t="shared" si="12"/>
        <v>2.8106108124071043E-2</v>
      </c>
      <c r="I106" s="299"/>
    </row>
    <row r="107" spans="1:9" s="4" customFormat="1" ht="33" x14ac:dyDescent="0.3">
      <c r="A107" s="1303" t="s">
        <v>5</v>
      </c>
      <c r="B107" s="171" t="s">
        <v>268</v>
      </c>
      <c r="C107" s="219" t="s">
        <v>8</v>
      </c>
      <c r="D107" s="804">
        <v>2000000</v>
      </c>
      <c r="E107" s="891">
        <v>2911000</v>
      </c>
      <c r="F107" s="804">
        <v>5000000</v>
      </c>
      <c r="G107" s="36">
        <f t="shared" si="10"/>
        <v>3000000</v>
      </c>
      <c r="H107" s="130">
        <f t="shared" si="12"/>
        <v>1.5</v>
      </c>
      <c r="I107" s="533" t="s">
        <v>443</v>
      </c>
    </row>
    <row r="108" spans="1:9" s="4" customFormat="1" ht="17.25" thickBot="1" x14ac:dyDescent="0.35">
      <c r="A108" s="1304"/>
      <c r="B108" s="1374" t="s">
        <v>704</v>
      </c>
      <c r="C108" s="1374"/>
      <c r="D108" s="805">
        <f>D107</f>
        <v>2000000</v>
      </c>
      <c r="E108" s="902">
        <v>2911000</v>
      </c>
      <c r="F108" s="805">
        <f>F107</f>
        <v>5000000</v>
      </c>
      <c r="G108" s="587">
        <f t="shared" si="10"/>
        <v>3000000</v>
      </c>
      <c r="H108" s="572">
        <f t="shared" si="12"/>
        <v>1.5</v>
      </c>
      <c r="I108" s="42"/>
    </row>
    <row r="109" spans="1:9" s="4" customFormat="1" ht="18.95" customHeight="1" x14ac:dyDescent="0.3">
      <c r="A109" s="1286" t="s">
        <v>271</v>
      </c>
      <c r="B109" s="1288" t="s">
        <v>198</v>
      </c>
      <c r="C109" s="151" t="s">
        <v>65</v>
      </c>
      <c r="D109" s="613">
        <v>10000000</v>
      </c>
      <c r="E109" s="891">
        <v>0</v>
      </c>
      <c r="F109" s="613">
        <v>10000000</v>
      </c>
      <c r="G109" s="157">
        <f t="shared" si="10"/>
        <v>0</v>
      </c>
      <c r="H109" s="130">
        <f t="shared" si="12"/>
        <v>0</v>
      </c>
      <c r="I109" s="39"/>
    </row>
    <row r="110" spans="1:9" s="4" customFormat="1" x14ac:dyDescent="0.3">
      <c r="A110" s="1286"/>
      <c r="B110" s="1289"/>
      <c r="C110" s="146" t="s">
        <v>38</v>
      </c>
      <c r="D110" s="806">
        <v>6624000</v>
      </c>
      <c r="E110" s="890">
        <v>31342</v>
      </c>
      <c r="F110" s="806">
        <v>23075000</v>
      </c>
      <c r="G110" s="36">
        <f t="shared" si="10"/>
        <v>16451000</v>
      </c>
      <c r="H110" s="130">
        <f t="shared" si="12"/>
        <v>2.4835446859903381</v>
      </c>
      <c r="I110" s="37"/>
    </row>
    <row r="111" spans="1:9" s="4" customFormat="1" ht="17.100000000000001" customHeight="1" thickBot="1" x14ac:dyDescent="0.35">
      <c r="A111" s="1461"/>
      <c r="B111" s="1374" t="s">
        <v>704</v>
      </c>
      <c r="C111" s="1374"/>
      <c r="D111" s="799">
        <f>SUM(D109:D110)</f>
        <v>16624000</v>
      </c>
      <c r="E111" s="900">
        <v>31342</v>
      </c>
      <c r="F111" s="799">
        <f>SUM(F109:F110)</f>
        <v>33075000</v>
      </c>
      <c r="G111" s="587">
        <f t="shared" si="10"/>
        <v>16451000</v>
      </c>
      <c r="H111" s="654">
        <f t="shared" si="12"/>
        <v>0.98959335899903755</v>
      </c>
      <c r="I111" s="42"/>
    </row>
    <row r="112" spans="1:9" s="4" customFormat="1" ht="17.100000000000001" customHeight="1" x14ac:dyDescent="0.3">
      <c r="A112" s="1316" t="s">
        <v>176</v>
      </c>
      <c r="B112" s="1319" t="s">
        <v>362</v>
      </c>
      <c r="C112" s="149" t="s">
        <v>178</v>
      </c>
      <c r="D112" s="680"/>
      <c r="E112" s="905">
        <v>0</v>
      </c>
      <c r="F112" s="691"/>
      <c r="G112" s="155">
        <f t="shared" si="10"/>
        <v>0</v>
      </c>
      <c r="H112" s="698" t="e">
        <f t="shared" si="12"/>
        <v>#DIV/0!</v>
      </c>
      <c r="I112" s="692"/>
    </row>
    <row r="113" spans="1:9" x14ac:dyDescent="0.3">
      <c r="A113" s="1317"/>
      <c r="B113" s="1320"/>
      <c r="C113" s="624" t="s">
        <v>363</v>
      </c>
      <c r="D113" s="677"/>
      <c r="E113" s="904">
        <v>0</v>
      </c>
      <c r="F113" s="677"/>
      <c r="G113" s="36">
        <f t="shared" si="10"/>
        <v>0</v>
      </c>
      <c r="H113" s="498" t="e">
        <f t="shared" si="12"/>
        <v>#DIV/0!</v>
      </c>
      <c r="I113" s="693"/>
    </row>
    <row r="114" spans="1:9" ht="17.25" thickBot="1" x14ac:dyDescent="0.35">
      <c r="A114" s="1318"/>
      <c r="B114" s="1374" t="s">
        <v>704</v>
      </c>
      <c r="C114" s="1374"/>
      <c r="D114" s="576">
        <f>SUM(D112:D113)</f>
        <v>0</v>
      </c>
      <c r="E114" s="889">
        <v>0</v>
      </c>
      <c r="F114" s="576">
        <f t="shared" ref="F114" si="13">SUM(F112:F113)</f>
        <v>0</v>
      </c>
      <c r="G114" s="40">
        <f t="shared" si="10"/>
        <v>0</v>
      </c>
      <c r="H114" s="697" t="e">
        <f t="shared" si="12"/>
        <v>#DIV/0!</v>
      </c>
      <c r="I114" s="42"/>
    </row>
    <row r="115" spans="1:9" x14ac:dyDescent="0.3">
      <c r="A115" s="1316" t="s">
        <v>364</v>
      </c>
      <c r="B115" s="1319" t="s">
        <v>362</v>
      </c>
      <c r="C115" s="149" t="s">
        <v>366</v>
      </c>
      <c r="D115" s="680"/>
      <c r="E115" s="905">
        <v>0</v>
      </c>
      <c r="F115" s="680"/>
      <c r="G115" s="155">
        <f t="shared" si="10"/>
        <v>0</v>
      </c>
      <c r="H115" s="698" t="e">
        <f t="shared" si="12"/>
        <v>#DIV/0!</v>
      </c>
      <c r="I115" s="692"/>
    </row>
    <row r="116" spans="1:9" ht="33" x14ac:dyDescent="0.3">
      <c r="A116" s="1317"/>
      <c r="B116" s="1320"/>
      <c r="C116" s="624" t="s">
        <v>368</v>
      </c>
      <c r="D116" s="677"/>
      <c r="E116" s="904">
        <v>0</v>
      </c>
      <c r="F116" s="677"/>
      <c r="G116" s="36">
        <f t="shared" si="10"/>
        <v>0</v>
      </c>
      <c r="H116" s="498" t="e">
        <f t="shared" si="12"/>
        <v>#DIV/0!</v>
      </c>
      <c r="I116" s="693"/>
    </row>
    <row r="117" spans="1:9" ht="17.25" thickBot="1" x14ac:dyDescent="0.35">
      <c r="A117" s="1318"/>
      <c r="B117" s="1374" t="s">
        <v>704</v>
      </c>
      <c r="C117" s="1374"/>
      <c r="D117" s="576">
        <f>SUM(D115:D116)</f>
        <v>0</v>
      </c>
      <c r="E117" s="889">
        <v>0</v>
      </c>
      <c r="F117" s="576">
        <f t="shared" ref="F117" si="14">SUM(F115:F116)</f>
        <v>0</v>
      </c>
      <c r="G117" s="40">
        <f t="shared" si="10"/>
        <v>0</v>
      </c>
      <c r="H117" s="697" t="e">
        <f t="shared" si="12"/>
        <v>#DIV/0!</v>
      </c>
      <c r="I117" s="42"/>
    </row>
    <row r="118" spans="1:9" ht="17.25" thickBot="1" x14ac:dyDescent="0.35">
      <c r="A118" s="673" t="s">
        <v>43</v>
      </c>
      <c r="B118" s="674" t="s">
        <v>370</v>
      </c>
      <c r="C118" s="675" t="s">
        <v>371</v>
      </c>
      <c r="D118" s="666"/>
      <c r="E118" s="903">
        <v>0</v>
      </c>
      <c r="F118" s="668"/>
      <c r="G118" s="646">
        <f t="shared" ref="G118:G119" si="15">F118-D118</f>
        <v>0</v>
      </c>
      <c r="H118" s="700" t="e">
        <f t="shared" ref="H118:H119" si="16">G118/D118*100%</f>
        <v>#DIV/0!</v>
      </c>
      <c r="I118" s="648"/>
    </row>
    <row r="119" spans="1:9" ht="17.25" thickBot="1" x14ac:dyDescent="0.35">
      <c r="A119" s="1467" t="s">
        <v>718</v>
      </c>
      <c r="B119" s="1468"/>
      <c r="C119" s="1469"/>
      <c r="D119" s="701">
        <f>SUM(D72,D76,D106,D108,D111,D118,D117,D114)</f>
        <v>2160000000</v>
      </c>
      <c r="E119" s="896">
        <v>1705407255</v>
      </c>
      <c r="F119" s="701">
        <f t="shared" ref="F119" si="17">SUM(F72,F76,F106,F108,F111,F118,F117,F114)</f>
        <v>2238000000</v>
      </c>
      <c r="G119" s="701">
        <f t="shared" si="15"/>
        <v>78000000</v>
      </c>
      <c r="H119" s="739">
        <f t="shared" si="16"/>
        <v>3.6111111111111108E-2</v>
      </c>
      <c r="I119" s="702"/>
    </row>
  </sheetData>
  <mergeCells count="70">
    <mergeCell ref="A119:C119"/>
    <mergeCell ref="A112:A114"/>
    <mergeCell ref="B112:B113"/>
    <mergeCell ref="B114:C114"/>
    <mergeCell ref="A115:A117"/>
    <mergeCell ref="B115:B116"/>
    <mergeCell ref="B117:C117"/>
    <mergeCell ref="A1:I1"/>
    <mergeCell ref="A3:I4"/>
    <mergeCell ref="H6:H7"/>
    <mergeCell ref="B22:C22"/>
    <mergeCell ref="A23:A27"/>
    <mergeCell ref="B27:C27"/>
    <mergeCell ref="B23:B26"/>
    <mergeCell ref="A2:I2"/>
    <mergeCell ref="A5:I5"/>
    <mergeCell ref="A6:C6"/>
    <mergeCell ref="D6:D7"/>
    <mergeCell ref="F6:F7"/>
    <mergeCell ref="G6:G7"/>
    <mergeCell ref="I6:I7"/>
    <mergeCell ref="E6:E7"/>
    <mergeCell ref="B13:C13"/>
    <mergeCell ref="B60:B63"/>
    <mergeCell ref="B30:C30"/>
    <mergeCell ref="B28:B29"/>
    <mergeCell ref="B109:B110"/>
    <mergeCell ref="B40:C40"/>
    <mergeCell ref="B48:C48"/>
    <mergeCell ref="B46:B47"/>
    <mergeCell ref="B106:C106"/>
    <mergeCell ref="A50:I50"/>
    <mergeCell ref="A51:C51"/>
    <mergeCell ref="D51:D52"/>
    <mergeCell ref="F51:F52"/>
    <mergeCell ref="G51:G52"/>
    <mergeCell ref="I51:I52"/>
    <mergeCell ref="E51:E52"/>
    <mergeCell ref="H51:H52"/>
    <mergeCell ref="A107:A108"/>
    <mergeCell ref="B108:C108"/>
    <mergeCell ref="A109:A111"/>
    <mergeCell ref="B111:C111"/>
    <mergeCell ref="B64:B71"/>
    <mergeCell ref="B72:C72"/>
    <mergeCell ref="A73:A76"/>
    <mergeCell ref="B76:C76"/>
    <mergeCell ref="B73:B75"/>
    <mergeCell ref="B77:B82"/>
    <mergeCell ref="B83:B105"/>
    <mergeCell ref="A77:A106"/>
    <mergeCell ref="B8:B12"/>
    <mergeCell ref="A8:A13"/>
    <mergeCell ref="A31:A33"/>
    <mergeCell ref="B31:B32"/>
    <mergeCell ref="A14:A22"/>
    <mergeCell ref="B14:B21"/>
    <mergeCell ref="A28:A30"/>
    <mergeCell ref="B33:C33"/>
    <mergeCell ref="A41:A45"/>
    <mergeCell ref="B41:B44"/>
    <mergeCell ref="B45:C45"/>
    <mergeCell ref="B34:B36"/>
    <mergeCell ref="B53:B59"/>
    <mergeCell ref="A49:C49"/>
    <mergeCell ref="A46:A48"/>
    <mergeCell ref="A38:A40"/>
    <mergeCell ref="B37:C37"/>
    <mergeCell ref="B38:B39"/>
    <mergeCell ref="A36:A37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I119"/>
  <sheetViews>
    <sheetView topLeftCell="A86" zoomScale="55" zoomScaleNormal="55" workbookViewId="0">
      <selection sqref="A1:I119"/>
    </sheetView>
  </sheetViews>
  <sheetFormatPr defaultRowHeight="16.5" x14ac:dyDescent="0.3"/>
  <cols>
    <col min="1" max="1" width="14.75" customWidth="1"/>
    <col min="2" max="2" width="15.625" customWidth="1"/>
    <col min="3" max="3" width="19.75" customWidth="1"/>
    <col min="4" max="4" width="19.25" customWidth="1"/>
    <col min="5" max="5" width="18.5" customWidth="1"/>
    <col min="6" max="6" width="18.875" customWidth="1"/>
    <col min="7" max="7" width="17.5" customWidth="1"/>
    <col min="8" max="8" width="9.875" customWidth="1"/>
    <col min="9" max="9" width="41.25" customWidth="1"/>
  </cols>
  <sheetData>
    <row r="1" spans="1:9" x14ac:dyDescent="0.3">
      <c r="A1" s="1227"/>
      <c r="B1" s="1227"/>
      <c r="C1" s="1227"/>
      <c r="D1" s="1227"/>
      <c r="E1" s="1227"/>
      <c r="F1" s="1227"/>
      <c r="G1" s="1227"/>
      <c r="H1" s="1227"/>
      <c r="I1" s="1227"/>
    </row>
    <row r="2" spans="1:9" ht="46.9" customHeight="1" x14ac:dyDescent="0.3">
      <c r="A2" s="1464" t="s">
        <v>200</v>
      </c>
      <c r="B2" s="1465"/>
      <c r="C2" s="1465"/>
      <c r="D2" s="1465"/>
      <c r="E2" s="1465"/>
      <c r="F2" s="1465"/>
      <c r="G2" s="1465"/>
      <c r="H2" s="1465"/>
      <c r="I2" s="1465"/>
    </row>
    <row r="3" spans="1:9" ht="24.6" customHeight="1" x14ac:dyDescent="0.3">
      <c r="A3" s="1435" t="s">
        <v>694</v>
      </c>
      <c r="B3" s="1435"/>
      <c r="C3" s="1435"/>
      <c r="D3" s="1435"/>
      <c r="E3" s="1435"/>
      <c r="F3" s="1435"/>
      <c r="G3" s="1435"/>
      <c r="H3" s="1435"/>
      <c r="I3" s="1435"/>
    </row>
    <row r="4" spans="1:9" ht="23.45" customHeight="1" x14ac:dyDescent="0.3">
      <c r="A4" s="1435"/>
      <c r="B4" s="1435"/>
      <c r="C4" s="1435"/>
      <c r="D4" s="1435"/>
      <c r="E4" s="1435"/>
      <c r="F4" s="1435"/>
      <c r="G4" s="1435"/>
      <c r="H4" s="1435"/>
      <c r="I4" s="1435"/>
    </row>
    <row r="5" spans="1:9" ht="17.25" thickBot="1" x14ac:dyDescent="0.35">
      <c r="A5" s="1466" t="s">
        <v>739</v>
      </c>
      <c r="B5" s="1466"/>
      <c r="C5" s="1466"/>
      <c r="D5" s="1466"/>
      <c r="E5" s="1466"/>
      <c r="F5" s="1466"/>
      <c r="G5" s="1466"/>
      <c r="H5" s="1466"/>
      <c r="I5" s="1466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659</v>
      </c>
      <c r="F6" s="1273" t="s">
        <v>319</v>
      </c>
      <c r="G6" s="1273" t="s">
        <v>59</v>
      </c>
      <c r="H6" s="127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276"/>
      <c r="I7" s="1278"/>
    </row>
    <row r="8" spans="1:9" ht="15" customHeight="1" x14ac:dyDescent="0.3">
      <c r="A8" s="1370" t="s">
        <v>165</v>
      </c>
      <c r="B8" s="1308" t="s">
        <v>166</v>
      </c>
      <c r="C8" s="1106" t="s">
        <v>147</v>
      </c>
      <c r="D8" s="236"/>
      <c r="E8" s="236"/>
      <c r="F8" s="236"/>
      <c r="G8" s="496"/>
      <c r="H8" s="500"/>
      <c r="I8" s="497"/>
    </row>
    <row r="9" spans="1:9" ht="15" customHeight="1" x14ac:dyDescent="0.3">
      <c r="A9" s="1364"/>
      <c r="B9" s="1309"/>
      <c r="C9" s="1108" t="s">
        <v>150</v>
      </c>
      <c r="D9" s="231"/>
      <c r="E9" s="231"/>
      <c r="F9" s="231"/>
      <c r="G9" s="243"/>
      <c r="H9" s="499"/>
      <c r="I9" s="294"/>
    </row>
    <row r="10" spans="1:9" ht="15" customHeight="1" x14ac:dyDescent="0.3">
      <c r="A10" s="1364"/>
      <c r="B10" s="1309"/>
      <c r="C10" s="1108" t="s">
        <v>151</v>
      </c>
      <c r="D10" s="231"/>
      <c r="E10" s="231"/>
      <c r="F10" s="231"/>
      <c r="G10" s="243"/>
      <c r="H10" s="499"/>
      <c r="I10" s="294"/>
    </row>
    <row r="11" spans="1:9" ht="15" customHeight="1" x14ac:dyDescent="0.3">
      <c r="A11" s="1364"/>
      <c r="B11" s="1309"/>
      <c r="C11" s="1108" t="s">
        <v>152</v>
      </c>
      <c r="D11" s="231"/>
      <c r="E11" s="231"/>
      <c r="F11" s="231"/>
      <c r="G11" s="243"/>
      <c r="H11" s="499"/>
      <c r="I11" s="294"/>
    </row>
    <row r="12" spans="1:9" ht="15" customHeight="1" x14ac:dyDescent="0.3">
      <c r="A12" s="1364"/>
      <c r="B12" s="1288"/>
      <c r="C12" s="1108" t="s">
        <v>153</v>
      </c>
      <c r="D12" s="231"/>
      <c r="E12" s="231"/>
      <c r="F12" s="231"/>
      <c r="G12" s="243"/>
      <c r="H12" s="499"/>
      <c r="I12" s="294"/>
    </row>
    <row r="13" spans="1:9" ht="18" thickBot="1" x14ac:dyDescent="0.35">
      <c r="A13" s="1365"/>
      <c r="B13" s="1311" t="s">
        <v>668</v>
      </c>
      <c r="C13" s="1311"/>
      <c r="D13" s="232"/>
      <c r="E13" s="232"/>
      <c r="F13" s="232"/>
      <c r="G13" s="244"/>
      <c r="H13" s="501"/>
      <c r="I13" s="295"/>
    </row>
    <row r="14" spans="1:9" ht="13.5" customHeight="1" x14ac:dyDescent="0.3">
      <c r="A14" s="1401" t="s">
        <v>157</v>
      </c>
      <c r="B14" s="1308" t="s">
        <v>158</v>
      </c>
      <c r="C14" s="1106" t="s">
        <v>142</v>
      </c>
      <c r="D14" s="236"/>
      <c r="E14" s="236"/>
      <c r="F14" s="236"/>
      <c r="G14" s="243"/>
      <c r="H14" s="499"/>
      <c r="I14" s="296"/>
    </row>
    <row r="15" spans="1:9" ht="13.5" customHeight="1" x14ac:dyDescent="0.3">
      <c r="A15" s="1401"/>
      <c r="B15" s="1309"/>
      <c r="C15" s="1108" t="s">
        <v>143</v>
      </c>
      <c r="D15" s="231"/>
      <c r="E15" s="231"/>
      <c r="F15" s="231"/>
      <c r="G15" s="243"/>
      <c r="H15" s="499"/>
      <c r="I15" s="297"/>
    </row>
    <row r="16" spans="1:9" ht="13.5" customHeight="1" x14ac:dyDescent="0.3">
      <c r="A16" s="1401"/>
      <c r="B16" s="1309"/>
      <c r="C16" s="1108" t="s">
        <v>144</v>
      </c>
      <c r="D16" s="231"/>
      <c r="E16" s="231"/>
      <c r="F16" s="231"/>
      <c r="G16" s="243"/>
      <c r="H16" s="499"/>
      <c r="I16" s="297"/>
    </row>
    <row r="17" spans="1:9" ht="13.5" customHeight="1" x14ac:dyDescent="0.3">
      <c r="A17" s="1401"/>
      <c r="B17" s="1309"/>
      <c r="C17" s="1108" t="s">
        <v>145</v>
      </c>
      <c r="D17" s="231"/>
      <c r="E17" s="231"/>
      <c r="F17" s="231"/>
      <c r="G17" s="243"/>
      <c r="H17" s="499"/>
      <c r="I17" s="297"/>
    </row>
    <row r="18" spans="1:9" ht="13.5" customHeight="1" x14ac:dyDescent="0.3">
      <c r="A18" s="1401"/>
      <c r="B18" s="1309"/>
      <c r="C18" s="1107" t="s">
        <v>146</v>
      </c>
      <c r="D18" s="231"/>
      <c r="E18" s="231"/>
      <c r="F18" s="231"/>
      <c r="G18" s="243"/>
      <c r="H18" s="499"/>
      <c r="I18" s="294"/>
    </row>
    <row r="19" spans="1:9" ht="28.9" customHeight="1" x14ac:dyDescent="0.3">
      <c r="A19" s="1401"/>
      <c r="B19" s="1309"/>
      <c r="C19" s="943" t="s">
        <v>148</v>
      </c>
      <c r="D19" s="676">
        <f>'5-1. 강서종합사회복지관'!D19+'5-2.강서종합사회복지관(재가노인지원서비스)'!D19+'5-3.강서구종합사회복지관(강서지역아동센터)'!D19+'5-4.강서구종합사회복지관(청소년지원센터)'!D19+'5-5.강서구종합사회복지관(자원봉사센터)'!D19+'5-6.강서구종합사회복지관(발달재활서비스)'!D19+'5-7.강서구종합사회복지관(심리치유서비스)'!D19</f>
        <v>15750000</v>
      </c>
      <c r="E19" s="676">
        <f>'5-1. 강서종합사회복지관'!E19+'5-2.강서종합사회복지관(재가노인지원서비스)'!E19+'5-3.강서구종합사회복지관(강서지역아동센터)'!E19+'5-4.강서구종합사회복지관(청소년지원센터)'!E19+'5-5.강서구종합사회복지관(자원봉사센터)'!E19+'5-6.강서구종합사회복지관(발달재활서비스)'!E19+'5-7.강서구종합사회복지관(심리치유서비스)'!E19</f>
        <v>9270470</v>
      </c>
      <c r="F19" s="676">
        <f>'5-1. 강서종합사회복지관'!F19+'5-2.강서종합사회복지관(재가노인지원서비스)'!F19+'5-3.강서구종합사회복지관(강서지역아동센터)'!F19+'5-4.강서구종합사회복지관(청소년지원센터)'!F19+'5-5.강서구종합사회복지관(자원봉사센터)'!F19+'5-6.강서구종합사회복지관(발달재활서비스)'!F19+'5-7.강서구종합사회복지관(심리치유서비스)'!F19</f>
        <v>10510500</v>
      </c>
      <c r="G19" s="1130">
        <f>'5-1. 강서종합사회복지관'!G19+'5-2.강서종합사회복지관(재가노인지원서비스)'!G19+'5-3.강서구종합사회복지관(강서지역아동센터)'!G19+'5-4.강서구종합사회복지관(청소년지원센터)'!G19+'5-5.강서구종합사회복지관(자원봉사센터)'!G19+'5-6.강서구종합사회복지관(발달재활서비스)'!G19+'5-7.강서구종합사회복지관(심리치유서비스)'!G19</f>
        <v>-5239500</v>
      </c>
      <c r="H19" s="1132">
        <f t="shared" ref="H19:H21" si="0">G19/D19*100%</f>
        <v>-0.33266666666666667</v>
      </c>
      <c r="I19" s="1134" t="s">
        <v>677</v>
      </c>
    </row>
    <row r="20" spans="1:9" ht="13.5" customHeight="1" x14ac:dyDescent="0.3">
      <c r="A20" s="1401"/>
      <c r="B20" s="1309"/>
      <c r="C20" s="943" t="s">
        <v>149</v>
      </c>
      <c r="D20" s="676">
        <f>'5-1. 강서종합사회복지관'!D20+'5-2.강서종합사회복지관(재가노인지원서비스)'!D20+'5-3.강서구종합사회복지관(강서지역아동센터)'!D20+'5-4.강서구종합사회복지관(청소년지원센터)'!D20+'5-5.강서구종합사회복지관(자원봉사센터)'!D20+'5-6.강서구종합사회복지관(발달재활서비스)'!D20+'5-7.강서구종합사회복지관(심리치유서비스)'!D20</f>
        <v>2500000</v>
      </c>
      <c r="E20" s="676">
        <f>'5-1. 강서종합사회복지관'!E20+'5-2.강서종합사회복지관(재가노인지원서비스)'!E20+'5-3.강서구종합사회복지관(강서지역아동센터)'!E20+'5-4.강서구종합사회복지관(청소년지원센터)'!E20+'5-5.강서구종합사회복지관(자원봉사센터)'!E20+'5-6.강서구종합사회복지관(발달재활서비스)'!E20+'5-7.강서구종합사회복지관(심리치유서비스)'!E20</f>
        <v>1500000</v>
      </c>
      <c r="F20" s="676">
        <f>'5-1. 강서종합사회복지관'!F20+'5-2.강서종합사회복지관(재가노인지원서비스)'!F20+'5-3.강서구종합사회복지관(강서지역아동센터)'!F20+'5-4.강서구종합사회복지관(청소년지원센터)'!F20+'5-5.강서구종합사회복지관(자원봉사센터)'!F20+'5-6.강서구종합사회복지관(발달재활서비스)'!F20+'5-7.강서구종합사회복지관(심리치유서비스)'!F20</f>
        <v>2500000</v>
      </c>
      <c r="G20" s="525">
        <f>'5-1. 강서종합사회복지관'!G20+'5-2.강서종합사회복지관(재가노인지원서비스)'!G20+'5-3.강서구종합사회복지관(강서지역아동센터)'!G20+'5-4.강서구종합사회복지관(청소년지원센터)'!G20+'5-5.강서구종합사회복지관(자원봉사센터)'!G20+'5-6.강서구종합사회복지관(발달재활서비스)'!G20+'5-7.강서구종합사회복지관(심리치유서비스)'!G20</f>
        <v>0</v>
      </c>
      <c r="H20" s="1132">
        <f t="shared" si="0"/>
        <v>0</v>
      </c>
      <c r="I20" s="1134"/>
    </row>
    <row r="21" spans="1:9" ht="34.9" customHeight="1" x14ac:dyDescent="0.3">
      <c r="A21" s="1401"/>
      <c r="B21" s="1288"/>
      <c r="C21" s="226" t="s">
        <v>167</v>
      </c>
      <c r="D21" s="1131">
        <f>'5-1. 강서종합사회복지관'!D21+'5-2.강서종합사회복지관(재가노인지원서비스)'!D21+'5-3.강서구종합사회복지관(강서지역아동센터)'!D21+'5-4.강서구종합사회복지관(청소년지원센터)'!D21+'5-5.강서구종합사회복지관(자원봉사센터)'!D21+'5-6.강서구종합사회복지관(발달재활서비스)'!D21+'5-7.강서구종합사회복지관(심리치유서비스)'!D21</f>
        <v>138160000</v>
      </c>
      <c r="E21" s="1131">
        <f>'5-1. 강서종합사회복지관'!E21+'5-2.강서종합사회복지관(재가노인지원서비스)'!E21+'5-3.강서구종합사회복지관(강서지역아동센터)'!E21+'5-4.강서구종합사회복지관(청소년지원센터)'!E21+'5-5.강서구종합사회복지관(자원봉사센터)'!E21+'5-6.강서구종합사회복지관(발달재활서비스)'!E21+'5-7.강서구종합사회복지관(심리치유서비스)'!E21</f>
        <v>111820000</v>
      </c>
      <c r="F21" s="1131">
        <f>'5-1. 강서종합사회복지관'!F21+'5-2.강서종합사회복지관(재가노인지원서비스)'!F21+'5-3.강서구종합사회복지관(강서지역아동센터)'!F21+'5-4.강서구종합사회복지관(청소년지원센터)'!F21+'5-5.강서구종합사회복지관(자원봉사센터)'!F21+'5-6.강서구종합사회복지관(발달재활서비스)'!F21+'5-7.강서구종합사회복지관(심리치유서비스)'!F21</f>
        <v>122150000</v>
      </c>
      <c r="G21" s="1130">
        <f>'5-1. 강서종합사회복지관'!G21+'5-2.강서종합사회복지관(재가노인지원서비스)'!G21+'5-3.강서구종합사회복지관(강서지역아동센터)'!G21+'5-4.강서구종합사회복지관(청소년지원센터)'!G21+'5-5.강서구종합사회복지관(자원봉사센터)'!G21+'5-6.강서구종합사회복지관(발달재활서비스)'!G21+'5-7.강서구종합사회복지관(심리치유서비스)'!G21</f>
        <v>-16010000</v>
      </c>
      <c r="H21" s="130">
        <f t="shared" si="0"/>
        <v>-0.11588013896931094</v>
      </c>
      <c r="I21" s="928" t="s">
        <v>678</v>
      </c>
    </row>
    <row r="22" spans="1:9" ht="17.25" thickBot="1" x14ac:dyDescent="0.35">
      <c r="A22" s="1460"/>
      <c r="B22" s="1311" t="s">
        <v>668</v>
      </c>
      <c r="C22" s="1311"/>
      <c r="D22" s="520">
        <f>SUM(D14:D21)</f>
        <v>156410000</v>
      </c>
      <c r="E22" s="520">
        <f t="shared" ref="E22:F22" si="1">SUM(E14:E21)</f>
        <v>122590470</v>
      </c>
      <c r="F22" s="520">
        <f t="shared" si="1"/>
        <v>135160500</v>
      </c>
      <c r="G22" s="910">
        <f t="shared" ref="G22:G49" si="2">F22-D22</f>
        <v>-21249500</v>
      </c>
      <c r="H22" s="1133">
        <f t="shared" ref="H22:H45" si="3">G22/D22*100%</f>
        <v>-0.13585768173390447</v>
      </c>
      <c r="I22" s="41"/>
    </row>
    <row r="23" spans="1:9" ht="19.5" customHeight="1" x14ac:dyDescent="0.3">
      <c r="A23" s="1371" t="s">
        <v>159</v>
      </c>
      <c r="B23" s="1308" t="s">
        <v>160</v>
      </c>
      <c r="C23" s="1106" t="s">
        <v>113</v>
      </c>
      <c r="D23" s="70"/>
      <c r="E23" s="70"/>
      <c r="F23" s="71"/>
      <c r="G23" s="160"/>
      <c r="H23" s="163"/>
      <c r="I23" s="733"/>
    </row>
    <row r="24" spans="1:9" ht="70.900000000000006" customHeight="1" x14ac:dyDescent="0.3">
      <c r="A24" s="1372"/>
      <c r="B24" s="1309"/>
      <c r="C24" s="1108" t="s">
        <v>63</v>
      </c>
      <c r="D24" s="44">
        <f>'5-1. 강서종합사회복지관'!D24+'5-2.강서종합사회복지관(재가노인지원서비스)'!D24+'5-3.강서구종합사회복지관(강서지역아동센터)'!D24+'5-4.강서구종합사회복지관(청소년지원센터)'!D24+'5-5.강서구종합사회복지관(자원봉사센터)'!D24+'5-6.강서구종합사회복지관(발달재활서비스)'!D24+'5-7.강서구종합사회복지관(심리치유서비스)'!D24</f>
        <v>1611514580</v>
      </c>
      <c r="E24" s="44">
        <f>'5-1. 강서종합사회복지관'!E24+'5-2.강서종합사회복지관(재가노인지원서비스)'!E24+'5-3.강서구종합사회복지관(강서지역아동센터)'!E24+'5-4.강서구종합사회복지관(청소년지원센터)'!E24+'5-5.강서구종합사회복지관(자원봉사센터)'!E24+'5-6.강서구종합사회복지관(발달재활서비스)'!E24+'5-7.강서구종합사회복지관(심리치유서비스)'!E24</f>
        <v>1546407260</v>
      </c>
      <c r="F24" s="44">
        <f>'5-1. 강서종합사회복지관'!F24+'5-2.강서종합사회복지관(재가노인지원서비스)'!F24+'5-3.강서구종합사회복지관(강서지역아동센터)'!F24+'5-4.강서구종합사회복지관(청소년지원센터)'!F24+'5-5.강서구종합사회복지관(자원봉사센터)'!F24+'5-6.강서구종합사회복지관(발달재활서비스)'!F24+'5-7.강서구종합사회복지관(심리치유서비스)'!F24</f>
        <v>1591719660</v>
      </c>
      <c r="G24" s="600">
        <f t="shared" si="2"/>
        <v>-19794920</v>
      </c>
      <c r="H24" s="164">
        <f t="shared" si="3"/>
        <v>-1.2283425943313525E-2</v>
      </c>
      <c r="I24" s="929" t="s">
        <v>679</v>
      </c>
    </row>
    <row r="25" spans="1:9" ht="24.6" customHeight="1" x14ac:dyDescent="0.3">
      <c r="A25" s="1372"/>
      <c r="B25" s="1309"/>
      <c r="C25" s="1108" t="s">
        <v>30</v>
      </c>
      <c r="D25" s="44">
        <f>'5-1. 강서종합사회복지관'!D25+'5-2.강서종합사회복지관(재가노인지원서비스)'!D25+'5-3.강서구종합사회복지관(강서지역아동센터)'!D25+'5-4.강서구종합사회복지관(청소년지원센터)'!D25+'5-5.강서구종합사회복지관(자원봉사센터)'!D25+'5-6.강서구종합사회복지관(발달재활서비스)'!D25+'5-7.강서구종합사회복지관(심리치유서비스)'!D25</f>
        <v>92776000</v>
      </c>
      <c r="E25" s="44">
        <f>'5-1. 강서종합사회복지관'!E25+'5-2.강서종합사회복지관(재가노인지원서비스)'!E25+'5-3.강서구종합사회복지관(강서지역아동센터)'!E25+'5-4.강서구종합사회복지관(청소년지원센터)'!E25+'5-5.강서구종합사회복지관(자원봉사센터)'!E25+'5-6.강서구종합사회복지관(발달재활서비스)'!E25+'5-7.강서구종합사회복지관(심리치유서비스)'!E25</f>
        <v>90547000</v>
      </c>
      <c r="F25" s="44">
        <f>'5-1. 강서종합사회복지관'!F25+'5-2.강서종합사회복지관(재가노인지원서비스)'!F25+'5-3.강서구종합사회복지관(강서지역아동센터)'!F25+'5-4.강서구종합사회복지관(청소년지원센터)'!F25+'5-5.강서구종합사회복지관(자원봉사센터)'!F25+'5-6.강서구종합사회복지관(발달재활서비스)'!F25+'5-7.강서구종합사회복지관(심리치유서비스)'!F25</f>
        <v>90547000</v>
      </c>
      <c r="G25" s="600">
        <f t="shared" si="2"/>
        <v>-2229000</v>
      </c>
      <c r="H25" s="164">
        <f t="shared" si="3"/>
        <v>-2.4025610071570235E-2</v>
      </c>
      <c r="I25" s="929" t="s">
        <v>680</v>
      </c>
    </row>
    <row r="26" spans="1:9" ht="19.149999999999999" customHeight="1" x14ac:dyDescent="0.3">
      <c r="A26" s="1372"/>
      <c r="B26" s="1288"/>
      <c r="C26" s="1108" t="s">
        <v>64</v>
      </c>
      <c r="D26" s="44">
        <f>'5-1. 강서종합사회복지관'!D26+'5-2.강서종합사회복지관(재가노인지원서비스)'!D26+'5-3.강서구종합사회복지관(강서지역아동센터)'!D26+'5-4.강서구종합사회복지관(청소년지원센터)'!D26+'5-5.강서구종합사회복지관(자원봉사센터)'!D26+'5-6.강서구종합사회복지관(발달재활서비스)'!D26+'5-7.강서구종합사회복지관(심리치유서비스)'!D26</f>
        <v>22380000</v>
      </c>
      <c r="E26" s="44">
        <f>'5-1. 강서종합사회복지관'!E26+'5-2.강서종합사회복지관(재가노인지원서비스)'!E26+'5-3.강서구종합사회복지관(강서지역아동센터)'!E26+'5-4.강서구종합사회복지관(청소년지원센터)'!E26+'5-5.강서구종합사회복지관(자원봉사센터)'!E26+'5-6.강서구종합사회복지관(발달재활서비스)'!E26+'5-7.강서구종합사회복지관(심리치유서비스)'!E26</f>
        <v>22380000</v>
      </c>
      <c r="F26" s="44">
        <f>'5-1. 강서종합사회복지관'!F26+'5-2.강서종합사회복지관(재가노인지원서비스)'!F26+'5-3.강서구종합사회복지관(강서지역아동센터)'!F26+'5-4.강서구종합사회복지관(청소년지원센터)'!F26+'5-5.강서구종합사회복지관(자원봉사센터)'!F26+'5-6.강서구종합사회복지관(발달재활서비스)'!F26+'5-7.강서구종합사회복지관(심리치유서비스)'!F26</f>
        <v>22380000</v>
      </c>
      <c r="G26" s="161">
        <f t="shared" si="2"/>
        <v>0</v>
      </c>
      <c r="H26" s="164">
        <f t="shared" si="3"/>
        <v>0</v>
      </c>
      <c r="I26" s="929"/>
    </row>
    <row r="27" spans="1:9" ht="18" thickBot="1" x14ac:dyDescent="0.35">
      <c r="A27" s="1373"/>
      <c r="B27" s="1311" t="s">
        <v>668</v>
      </c>
      <c r="C27" s="1311"/>
      <c r="D27" s="519">
        <f>SUM(D23:D26)</f>
        <v>1726670580</v>
      </c>
      <c r="E27" s="519">
        <f t="shared" ref="E27:F27" si="4">SUM(E23:E26)</f>
        <v>1659334260</v>
      </c>
      <c r="F27" s="519">
        <f t="shared" si="4"/>
        <v>1704646660</v>
      </c>
      <c r="G27" s="749">
        <f t="shared" si="2"/>
        <v>-22023920</v>
      </c>
      <c r="H27" s="734">
        <f t="shared" si="3"/>
        <v>-1.2755137114805071E-2</v>
      </c>
      <c r="I27" s="736"/>
    </row>
    <row r="28" spans="1:9" ht="56.45" customHeight="1" x14ac:dyDescent="0.3">
      <c r="A28" s="1325" t="s">
        <v>161</v>
      </c>
      <c r="B28" s="1323" t="s">
        <v>162</v>
      </c>
      <c r="C28" s="149" t="s">
        <v>6</v>
      </c>
      <c r="D28" s="69">
        <f>'5-1. 강서종합사회복지관'!D28+'5-2.강서종합사회복지관(재가노인지원서비스)'!D28+'5-3.강서구종합사회복지관(강서지역아동센터)'!D28+'5-4.강서구종합사회복지관(청소년지원센터)'!D28+'5-5.강서구종합사회복지관(자원봉사센터)'!D28+'5-6.강서구종합사회복지관(발달재활서비스)'!D28+'5-7.강서구종합사회복지관(심리치유서비스)'!D28</f>
        <v>194103700</v>
      </c>
      <c r="E28" s="885">
        <f>'5-1. 강서종합사회복지관'!E28+'5-2.강서종합사회복지관(재가노인지원서비스)'!E28+'5-3.강서구종합사회복지관(강서지역아동센터)'!E28+'5-4.강서구종합사회복지관(청소년지원센터)'!E28+'5-5.강서구종합사회복지관(자원봉사센터)'!E28+'5-6.강서구종합사회복지관(발달재활서비스)'!E28+'5-7.강서구종합사회복지관(심리치유서비스)'!E28</f>
        <v>159450983</v>
      </c>
      <c r="F28" s="885">
        <f>'5-1. 강서종합사회복지관'!F28+'5-2.강서종합사회복지관(재가노인지원서비스)'!F28+'5-3.강서구종합사회복지관(강서지역아동센터)'!F28+'5-4.강서구종합사회복지관(청소년지원센터)'!F28+'5-5.강서구종합사회복지관(자원봉사센터)'!F28+'5-6.강서구종합사회복지관(발달재활서비스)'!F28+'5-7.강서구종합사회복지관(심리치유서비스)'!F28</f>
        <v>175384700</v>
      </c>
      <c r="G28" s="35">
        <f t="shared" si="2"/>
        <v>-18719000</v>
      </c>
      <c r="H28" s="130">
        <f t="shared" si="3"/>
        <v>-9.6438141055528559E-2</v>
      </c>
      <c r="I28" s="1135" t="s">
        <v>695</v>
      </c>
    </row>
    <row r="29" spans="1:9" ht="34.15" customHeight="1" x14ac:dyDescent="0.3">
      <c r="A29" s="1326"/>
      <c r="B29" s="1289"/>
      <c r="C29" s="942" t="s">
        <v>7</v>
      </c>
      <c r="D29" s="885">
        <f>'5-1. 강서종합사회복지관'!D29+'5-2.강서종합사회복지관(재가노인지원서비스)'!D29+'5-3.강서구종합사회복지관(강서지역아동센터)'!D29+'5-4.강서구종합사회복지관(청소년지원센터)'!D29+'5-5.강서구종합사회복지관(자원봉사센터)'!D29+'5-6.강서구종합사회복지관(발달재활서비스)'!D29+'5-7.강서구종합사회복지관(심리치유서비스)'!D29</f>
        <v>198753775</v>
      </c>
      <c r="E29" s="885">
        <f>'5-1. 강서종합사회복지관'!E29+'5-2.강서종합사회복지관(재가노인지원서비스)'!E29+'5-3.강서구종합사회복지관(강서지역아동센터)'!E29+'5-4.강서구종합사회복지관(청소년지원센터)'!E29+'5-5.강서구종합사회복지관(자원봉사센터)'!E29+'5-6.강서구종합사회복지관(발달재활서비스)'!E29+'5-7.강서구종합사회복지관(심리치유서비스)'!E29</f>
        <v>137636485</v>
      </c>
      <c r="F29" s="885">
        <f>'5-1. 강서종합사회복지관'!F29+'5-2.강서종합사회복지관(재가노인지원서비스)'!F29+'5-3.강서구종합사회복지관(강서지역아동센터)'!F29+'5-4.강서구종합사회복지관(청소년지원센터)'!F29+'5-5.강서구종합사회복지관(자원봉사센터)'!F29+'5-6.강서구종합사회복지관(발달재활서비스)'!F29+'5-7.강서구종합사회복지관(심리치유서비스)'!F29</f>
        <v>169253775</v>
      </c>
      <c r="G29" s="35">
        <f t="shared" si="2"/>
        <v>-29500000</v>
      </c>
      <c r="H29" s="130">
        <f t="shared" si="3"/>
        <v>-0.14842485381724196</v>
      </c>
      <c r="I29" s="1140" t="s">
        <v>681</v>
      </c>
    </row>
    <row r="30" spans="1:9" ht="18" thickBot="1" x14ac:dyDescent="0.35">
      <c r="A30" s="1327"/>
      <c r="B30" s="1311" t="s">
        <v>668</v>
      </c>
      <c r="C30" s="1311"/>
      <c r="D30" s="539">
        <f>SUM(D28:D29)</f>
        <v>392857475</v>
      </c>
      <c r="E30" s="539">
        <f t="shared" ref="E30:F30" si="5">SUM(E28:E29)</f>
        <v>297087468</v>
      </c>
      <c r="F30" s="601">
        <f t="shared" si="5"/>
        <v>344638475</v>
      </c>
      <c r="G30" s="603">
        <f t="shared" si="2"/>
        <v>-48219000</v>
      </c>
      <c r="H30" s="734">
        <f t="shared" si="3"/>
        <v>-0.12273916895688443</v>
      </c>
      <c r="I30" s="735"/>
    </row>
    <row r="31" spans="1:9" ht="14.25" customHeight="1" x14ac:dyDescent="0.3">
      <c r="A31" s="1370" t="s">
        <v>163</v>
      </c>
      <c r="B31" s="1308" t="s">
        <v>168</v>
      </c>
      <c r="C31" s="1106" t="s">
        <v>154</v>
      </c>
      <c r="D31" s="71"/>
      <c r="E31" s="71"/>
      <c r="F31" s="69"/>
      <c r="G31" s="69"/>
      <c r="H31" s="499"/>
      <c r="I31" s="240"/>
    </row>
    <row r="32" spans="1:9" ht="14.25" customHeight="1" x14ac:dyDescent="0.3">
      <c r="A32" s="1364"/>
      <c r="B32" s="1288"/>
      <c r="C32" s="1108" t="s">
        <v>155</v>
      </c>
      <c r="D32" s="66"/>
      <c r="E32" s="66"/>
      <c r="F32" s="66"/>
      <c r="G32" s="66"/>
      <c r="H32" s="499"/>
      <c r="I32" s="83"/>
    </row>
    <row r="33" spans="1:9" ht="18" thickBot="1" x14ac:dyDescent="0.35">
      <c r="A33" s="1365"/>
      <c r="B33" s="1311" t="s">
        <v>668</v>
      </c>
      <c r="C33" s="1311"/>
      <c r="D33" s="73"/>
      <c r="E33" s="73"/>
      <c r="F33" s="73"/>
      <c r="G33" s="40"/>
      <c r="H33" s="516"/>
      <c r="I33" s="81"/>
    </row>
    <row r="34" spans="1:9" ht="18.75" customHeight="1" x14ac:dyDescent="0.3">
      <c r="A34" s="326"/>
      <c r="B34" s="1308" t="s">
        <v>169</v>
      </c>
      <c r="C34" s="1106" t="s">
        <v>183</v>
      </c>
      <c r="D34" s="69">
        <f>'5-1. 강서종합사회복지관'!D34+'5-2.강서종합사회복지관(재가노인지원서비스)'!D34+'5-3.강서구종합사회복지관(강서지역아동센터)'!D34+'5-4.강서구종합사회복지관(청소년지원센터)'!D34+'5-5.강서구종합사회복지관(자원봉사센터)'!D34+'5-6.강서구종합사회복지관(발달재활서비스)'!D34+'5-7.강서구종합사회복지관(심리치유서비스)'!D34</f>
        <v>3000000</v>
      </c>
      <c r="E34" s="885">
        <f>'5-1. 강서종합사회복지관'!E34+'5-2.강서종합사회복지관(재가노인지원서비스)'!E34+'5-3.강서구종합사회복지관(강서지역아동센터)'!E34+'5-4.강서구종합사회복지관(청소년지원센터)'!E34+'5-5.강서구종합사회복지관(자원봉사센터)'!E34+'5-6.강서구종합사회복지관(발달재활서비스)'!E34+'5-7.강서구종합사회복지관(심리치유서비스)'!E34</f>
        <v>3000000</v>
      </c>
      <c r="F34" s="885">
        <f>'5-1. 강서종합사회복지관'!F34+'5-2.강서종합사회복지관(재가노인지원서비스)'!F34+'5-3.강서구종합사회복지관(강서지역아동센터)'!F34+'5-4.강서구종합사회복지관(청소년지원센터)'!F34+'5-5.강서구종합사회복지관(자원봉사센터)'!F34+'5-6.강서구종합사회복지관(발달재활서비스)'!F34+'5-7.강서구종합사회복지관(심리치유서비스)'!F34</f>
        <v>3000000</v>
      </c>
      <c r="G34" s="71">
        <f t="shared" si="2"/>
        <v>0</v>
      </c>
      <c r="H34" s="499">
        <f t="shared" si="3"/>
        <v>0</v>
      </c>
      <c r="I34" s="240"/>
    </row>
    <row r="35" spans="1:9" ht="18.75" customHeight="1" x14ac:dyDescent="0.3">
      <c r="A35" s="620"/>
      <c r="B35" s="1309"/>
      <c r="C35" s="943" t="s">
        <v>184</v>
      </c>
      <c r="D35" s="885">
        <f>'5-1. 강서종합사회복지관'!D35+'5-2.강서종합사회복지관(재가노인지원서비스)'!D35+'5-3.강서구종합사회복지관(강서지역아동센터)'!D35+'5-4.강서구종합사회복지관(청소년지원센터)'!D35+'5-5.강서구종합사회복지관(자원봉사센터)'!D35+'5-6.강서구종합사회복지관(발달재활서비스)'!D35+'5-7.강서구종합사회복지관(심리치유서비스)'!D35</f>
        <v>10000005</v>
      </c>
      <c r="E35" s="885">
        <f>'5-1. 강서종합사회복지관'!E35+'5-2.강서종합사회복지관(재가노인지원서비스)'!E35+'5-3.강서구종합사회복지관(강서지역아동센터)'!E35+'5-4.강서구종합사회복지관(청소년지원센터)'!E35+'5-5.강서구종합사회복지관(자원봉사센터)'!E35+'5-6.강서구종합사회복지관(발달재활서비스)'!E35+'5-7.강서구종합사회복지관(심리치유서비스)'!E35</f>
        <v>10000005</v>
      </c>
      <c r="F35" s="885">
        <f>'5-1. 강서종합사회복지관'!F35+'5-2.강서종합사회복지관(재가노인지원서비스)'!F35+'5-3.강서구종합사회복지관(강서지역아동센터)'!F35+'5-4.강서구종합사회복지관(청소년지원센터)'!F35+'5-5.강서구종합사회복지관(자원봉사센터)'!F35+'5-6.강서구종합사회복지관(발달재활서비스)'!F35+'5-7.강서구종합사회복지관(심리치유서비스)'!F35</f>
        <v>10000005</v>
      </c>
      <c r="G35" s="66">
        <f t="shared" si="2"/>
        <v>0</v>
      </c>
      <c r="H35" s="499">
        <f t="shared" si="3"/>
        <v>0</v>
      </c>
      <c r="I35" s="240"/>
    </row>
    <row r="36" spans="1:9" ht="18.75" customHeight="1" x14ac:dyDescent="0.3">
      <c r="A36" s="1303" t="s">
        <v>4</v>
      </c>
      <c r="B36" s="1288"/>
      <c r="C36" s="943" t="s">
        <v>356</v>
      </c>
      <c r="D36" s="885">
        <v>0</v>
      </c>
      <c r="E36" s="885">
        <v>0</v>
      </c>
      <c r="F36" s="885">
        <v>0</v>
      </c>
      <c r="G36" s="69">
        <f t="shared" si="2"/>
        <v>0</v>
      </c>
      <c r="H36" s="499"/>
      <c r="I36" s="83"/>
    </row>
    <row r="37" spans="1:9" ht="18" thickBot="1" x14ac:dyDescent="0.35">
      <c r="A37" s="1304"/>
      <c r="B37" s="1311" t="s">
        <v>668</v>
      </c>
      <c r="C37" s="1311"/>
      <c r="D37" s="629">
        <f>SUM(D34:D36)</f>
        <v>13000005</v>
      </c>
      <c r="E37" s="629">
        <f t="shared" ref="E37:F37" si="6">SUM(E34:E36)</f>
        <v>13000005</v>
      </c>
      <c r="F37" s="629">
        <f t="shared" si="6"/>
        <v>13000005</v>
      </c>
      <c r="G37" s="587">
        <f t="shared" si="2"/>
        <v>0</v>
      </c>
      <c r="H37" s="602">
        <f t="shared" si="3"/>
        <v>0</v>
      </c>
      <c r="I37" s="42"/>
    </row>
    <row r="38" spans="1:9" ht="20.25" customHeight="1" x14ac:dyDescent="0.3">
      <c r="A38" s="1302" t="s">
        <v>170</v>
      </c>
      <c r="B38" s="1308" t="s">
        <v>171</v>
      </c>
      <c r="C38" s="149" t="s">
        <v>9</v>
      </c>
      <c r="D38" s="450">
        <f>'5-1. 강서종합사회복지관'!D37+'5-2.강서종합사회복지관(재가노인지원서비스)'!D37+'5-3.강서구종합사회복지관(강서지역아동센터)'!D37+'5-4.강서구종합사회복지관(청소년지원센터)'!D37+'5-5.강서구종합사회복지관(자원봉사센터)'!D37+'5-6.강서구종합사회복지관(발달재활서비스)'!D37+'5-7.강서구종합사회복지관(심리치유서비스)'!D37</f>
        <v>52184902</v>
      </c>
      <c r="E38" s="456">
        <f>'5-1. 강서종합사회복지관'!E37+'5-2.강서종합사회복지관(재가노인지원서비스)'!E37+'5-3.강서구종합사회복지관(강서지역아동센터)'!E37+'5-4.강서구종합사회복지관(청소년지원센터)'!E37+'5-5.강서구종합사회복지관(자원봉사센터)'!E37+'5-6.강서구종합사회복지관(발달재활서비스)'!E37+'5-7.강서구종합사회복지관(심리치유서비스)'!E37</f>
        <v>52184902</v>
      </c>
      <c r="F38" s="456">
        <f>'5-1. 강서종합사회복지관'!F37+'5-2.강서종합사회복지관(재가노인지원서비스)'!F37+'5-3.강서구종합사회복지관(강서지역아동센터)'!F37+'5-4.강서구종합사회복지관(청소년지원센터)'!F37+'5-5.강서구종합사회복지관(자원봉사센터)'!F37+'5-6.강서구종합사회복지관(발달재활서비스)'!F37+'5-7.강서구종합사회복지관(심리치유서비스)'!F37</f>
        <v>52184902</v>
      </c>
      <c r="G38" s="36">
        <f t="shared" si="2"/>
        <v>0</v>
      </c>
      <c r="H38" s="499">
        <f t="shared" si="3"/>
        <v>0</v>
      </c>
      <c r="I38" s="74"/>
    </row>
    <row r="39" spans="1:9" ht="20.25" customHeight="1" x14ac:dyDescent="0.3">
      <c r="A39" s="1303"/>
      <c r="B39" s="1288"/>
      <c r="C39" s="943" t="s">
        <v>174</v>
      </c>
      <c r="D39" s="65">
        <f>'5-1. 강서종합사회복지관'!D38+'5-2.강서종합사회복지관(재가노인지원서비스)'!D38+'5-3.강서구종합사회복지관(강서지역아동센터)'!D38+'5-4.강서구종합사회복지관(청소년지원센터)'!D38+'5-5.강서구종합사회복지관(자원봉사센터)'!D38+'5-6.강서구종합사회복지관(발달재활서비스)'!D38+'5-7.강서구종합사회복지관(심리치유서비스)'!D38</f>
        <v>324520906</v>
      </c>
      <c r="E39" s="65">
        <f>'5-1. 강서종합사회복지관'!E38+'5-2.강서종합사회복지관(재가노인지원서비스)'!E38+'5-3.강서구종합사회복지관(강서지역아동센터)'!E38+'5-4.강서구종합사회복지관(청소년지원센터)'!E38+'5-5.강서구종합사회복지관(자원봉사센터)'!E38+'5-6.강서구종합사회복지관(발달재활서비스)'!E38+'5-7.강서구종합사회복지관(심리치유서비스)'!E38</f>
        <v>324520906</v>
      </c>
      <c r="F39" s="65">
        <f>'5-1. 강서종합사회복지관'!F38+'5-2.강서종합사회복지관(재가노인지원서비스)'!F38+'5-3.강서구종합사회복지관(강서지역아동센터)'!F38+'5-4.강서구종합사회복지관(청소년지원센터)'!F38+'5-5.강서구종합사회복지관(자원봉사센터)'!F38+'5-6.강서구종합사회복지관(발달재활서비스)'!F38+'5-7.강서구종합사회복지관(심리치유서비스)'!F38</f>
        <v>324520906</v>
      </c>
      <c r="G39" s="36">
        <f t="shared" si="2"/>
        <v>0</v>
      </c>
      <c r="H39" s="499">
        <f t="shared" si="3"/>
        <v>0</v>
      </c>
      <c r="I39" s="239"/>
    </row>
    <row r="40" spans="1:9" ht="18" thickBot="1" x14ac:dyDescent="0.35">
      <c r="A40" s="1304"/>
      <c r="B40" s="1311" t="s">
        <v>668</v>
      </c>
      <c r="C40" s="1311"/>
      <c r="D40" s="519">
        <f>SUM(D38:D39)</f>
        <v>376705808</v>
      </c>
      <c r="E40" s="519">
        <f t="shared" ref="E40:F40" si="7">SUM(E38:E39)</f>
        <v>376705808</v>
      </c>
      <c r="F40" s="519">
        <f t="shared" si="7"/>
        <v>376705808</v>
      </c>
      <c r="G40" s="520">
        <f t="shared" si="2"/>
        <v>0</v>
      </c>
      <c r="H40" s="522">
        <f t="shared" si="3"/>
        <v>0</v>
      </c>
      <c r="I40" s="81"/>
    </row>
    <row r="41" spans="1:9" ht="21" customHeight="1" x14ac:dyDescent="0.3">
      <c r="A41" s="1456" t="s">
        <v>172</v>
      </c>
      <c r="B41" s="1323" t="s">
        <v>172</v>
      </c>
      <c r="C41" s="1106" t="s">
        <v>343</v>
      </c>
      <c r="D41" s="71">
        <f>'5-1. 강서종합사회복지관'!D40+'5-2.강서종합사회복지관(재가노인지원서비스)'!D40+'5-3.강서구종합사회복지관(강서지역아동센터)'!D40+'5-4.강서구종합사회복지관(청소년지원센터)'!D40+'5-5.강서구종합사회복지관(자원봉사센터)'!D40+'5-6.강서구종합사회복지관(발달재활서비스)'!D40+'5-7.강서구종합사회복지관(심리치유서비스)'!D40</f>
        <v>6200000</v>
      </c>
      <c r="E41" s="71">
        <f>'5-1. 강서종합사회복지관'!E40+'5-2.강서종합사회복지관(재가노인지원서비스)'!E40+'5-3.강서구종합사회복지관(강서지역아동센터)'!E40+'5-4.강서구종합사회복지관(청소년지원센터)'!E40+'5-5.강서구종합사회복지관(자원봉사센터)'!E40+'5-6.강서구종합사회복지관(발달재활서비스)'!E40+'5-7.강서구종합사회복지관(심리치유서비스)'!E40</f>
        <v>6200000</v>
      </c>
      <c r="F41" s="71">
        <f>'5-1. 강서종합사회복지관'!F40+'5-2.강서종합사회복지관(재가노인지원서비스)'!F40+'5-3.강서구종합사회복지관(강서지역아동센터)'!F40+'5-4.강서구종합사회복지관(청소년지원센터)'!F40+'5-5.강서구종합사회복지관(자원봉사센터)'!F40+'5-6.강서구종합사회복지관(발달재활서비스)'!F40+'5-7.강서구종합사회복지관(심리치유서비스)'!F40</f>
        <v>6200000</v>
      </c>
      <c r="G41" s="155">
        <f t="shared" si="2"/>
        <v>0</v>
      </c>
      <c r="H41" s="500">
        <f t="shared" si="3"/>
        <v>0</v>
      </c>
      <c r="I41" s="645"/>
    </row>
    <row r="42" spans="1:9" ht="23.45" customHeight="1" x14ac:dyDescent="0.3">
      <c r="A42" s="1457"/>
      <c r="B42" s="1289"/>
      <c r="C42" s="1108" t="s">
        <v>173</v>
      </c>
      <c r="D42" s="884">
        <f>'5-1. 강서종합사회복지관'!D41+'5-2.강서종합사회복지관(재가노인지원서비스)'!D41+'5-3.강서구종합사회복지관(강서지역아동센터)'!D41+'5-4.강서구종합사회복지관(청소년지원센터)'!D41+'5-5.강서구종합사회복지관(자원봉사센터)'!D41+'5-6.강서구종합사회복지관(발달재활서비스)'!D41+'5-7.강서구종합사회복지관(심리치유서비스)'!D41</f>
        <v>340132</v>
      </c>
      <c r="E42" s="884">
        <f>'5-1. 강서종합사회복지관'!E41+'5-2.강서종합사회복지관(재가노인지원서비스)'!E41+'5-3.강서구종합사회복지관(강서지역아동센터)'!E41+'5-4.강서구종합사회복지관(청소년지원센터)'!E41+'5-5.강서구종합사회복지관(자원봉사센터)'!E41+'5-6.강서구종합사회복지관(발달재활서비스)'!E41+'5-7.강서구종합사회복지관(심리치유서비스)'!E41</f>
        <v>89775</v>
      </c>
      <c r="F42" s="884">
        <f>'5-1. 강서종합사회복지관'!F41+'5-2.강서종합사회복지관(재가노인지원서비스)'!F41+'5-3.강서구종합사회복지관(강서지역아동센터)'!F41+'5-4.강서구종합사회복지관(청소년지원센터)'!F41+'5-5.강서구종합사회복지관(자원봉사센터)'!F41+'5-6.강서구종합사회복지관(발달재활서비스)'!F41+'5-7.강서구종합사회복지관(심리치유서비스)'!F41</f>
        <v>250258</v>
      </c>
      <c r="G42" s="35">
        <f t="shared" si="2"/>
        <v>-89874</v>
      </c>
      <c r="H42" s="499">
        <f t="shared" si="3"/>
        <v>-0.26423270965389906</v>
      </c>
      <c r="I42" s="931" t="s">
        <v>682</v>
      </c>
    </row>
    <row r="43" spans="1:9" ht="14.45" customHeight="1" x14ac:dyDescent="0.3">
      <c r="A43" s="1457"/>
      <c r="B43" s="1289"/>
      <c r="C43" s="1108" t="s">
        <v>175</v>
      </c>
      <c r="D43" s="884">
        <f>'5-1. 강서종합사회복지관'!D42+'5-2.강서종합사회복지관(재가노인지원서비스)'!D42+'5-3.강서구종합사회복지관(강서지역아동센터)'!D42+'5-4.강서구종합사회복지관(청소년지원센터)'!D42+'5-5.강서구종합사회복지관(자원봉사센터)'!D42+'5-6.강서구종합사회복지관(발달재활서비스)'!D42+'5-7.강서구종합사회복지관(심리치유서비스)'!D42</f>
        <v>0</v>
      </c>
      <c r="E43" s="884">
        <f>'5-1. 강서종합사회복지관'!E42+'5-2.강서종합사회복지관(재가노인지원서비스)'!E42+'5-3.강서구종합사회복지관(강서지역아동센터)'!E42+'5-4.강서구종합사회복지관(청소년지원센터)'!E42+'5-5.강서구종합사회복지관(자원봉사센터)'!E42+'5-6.강서구종합사회복지관(발달재활서비스)'!E42+'5-7.강서구종합사회복지관(심리치유서비스)'!E42</f>
        <v>0</v>
      </c>
      <c r="F43" s="884">
        <f>'5-1. 강서종합사회복지관'!F42+'5-2.강서종합사회복지관(재가노인지원서비스)'!F42+'5-3.강서구종합사회복지관(강서지역아동센터)'!F42+'5-4.강서구종합사회복지관(청소년지원센터)'!F42+'5-5.강서구종합사회복지관(자원봉사센터)'!F42+'5-6.강서구종합사회복지관(발달재활서비스)'!F42+'5-7.강서구종합사회복지관(심리치유서비스)'!F42</f>
        <v>0</v>
      </c>
      <c r="G43" s="36">
        <f t="shared" si="2"/>
        <v>0</v>
      </c>
      <c r="H43" s="499"/>
      <c r="I43" s="83"/>
    </row>
    <row r="44" spans="1:9" ht="32.450000000000003" customHeight="1" x14ac:dyDescent="0.3">
      <c r="A44" s="1457"/>
      <c r="B44" s="1289"/>
      <c r="C44" s="226" t="s">
        <v>10</v>
      </c>
      <c r="D44" s="884">
        <f>'5-1. 강서종합사회복지관'!D43+'5-2.강서종합사회복지관(재가노인지원서비스)'!D43+'5-3.강서구종합사회복지관(강서지역아동센터)'!D43+'5-4.강서구종합사회복지관(청소년지원센터)'!D43+'5-5.강서구종합사회복지관(자원봉사센터)'!D43+'5-6.강서구종합사회복지관(발달재활서비스)'!D43+'5-7.강서구종합사회복지관(심리치유서비스)'!D43</f>
        <v>17859000</v>
      </c>
      <c r="E44" s="884">
        <f>'5-1. 강서종합사회복지관'!E43+'5-2.강서종합사회복지관(재가노인지원서비스)'!E43+'5-3.강서구종합사회복지관(강서지역아동센터)'!E43+'5-4.강서구종합사회복지관(청소년지원센터)'!E43+'5-5.강서구종합사회복지관(자원봉사센터)'!E43+'5-6.강서구종합사회복지관(발달재활서비스)'!E43+'5-7.강서구종합사회복지관(심리치유서비스)'!E43</f>
        <v>17428744</v>
      </c>
      <c r="F44" s="884">
        <f>'5-1. 강서종합사회복지관'!F43+'5-2.강서종합사회복지관(재가노인지원서비스)'!F43+'5-3.강서구종합사회복지관(강서지역아동센터)'!F43+'5-4.강서구종합사회복지관(청소년지원센터)'!F43+'5-5.강서구종합사회복지관(자원봉사센터)'!F43+'5-6.강서구종합사회복지관(발달재활서비스)'!F43+'5-7.강서구종합사회복지관(심리치유서비스)'!F43</f>
        <v>19805294</v>
      </c>
      <c r="G44" s="36">
        <f t="shared" si="2"/>
        <v>1946294</v>
      </c>
      <c r="H44" s="499">
        <f t="shared" si="3"/>
        <v>0.10898112996248391</v>
      </c>
      <c r="I44" s="929" t="s">
        <v>683</v>
      </c>
    </row>
    <row r="45" spans="1:9" ht="18" thickBot="1" x14ac:dyDescent="0.35">
      <c r="A45" s="1458"/>
      <c r="B45" s="1311" t="s">
        <v>668</v>
      </c>
      <c r="C45" s="1311"/>
      <c r="D45" s="887">
        <f>SUM(D41:D44)</f>
        <v>24399132</v>
      </c>
      <c r="E45" s="887">
        <f t="shared" ref="E45:F45" si="8">SUM(E41:E44)</f>
        <v>23718519</v>
      </c>
      <c r="F45" s="887">
        <f t="shared" si="8"/>
        <v>26255552</v>
      </c>
      <c r="G45" s="520">
        <f t="shared" si="2"/>
        <v>1856420</v>
      </c>
      <c r="H45" s="522">
        <f t="shared" si="3"/>
        <v>7.6085493533130599E-2</v>
      </c>
      <c r="I45" s="81"/>
    </row>
    <row r="46" spans="1:9" ht="27" customHeight="1" x14ac:dyDescent="0.3">
      <c r="A46" s="1325" t="s">
        <v>176</v>
      </c>
      <c r="B46" s="1323" t="s">
        <v>177</v>
      </c>
      <c r="C46" s="1106" t="s">
        <v>178</v>
      </c>
      <c r="D46" s="885"/>
      <c r="E46" s="885"/>
      <c r="F46" s="221"/>
      <c r="G46" s="36">
        <f t="shared" si="2"/>
        <v>0</v>
      </c>
      <c r="H46" s="499"/>
      <c r="I46" s="240"/>
    </row>
    <row r="47" spans="1:9" ht="30.75" customHeight="1" x14ac:dyDescent="0.3">
      <c r="A47" s="1326"/>
      <c r="B47" s="1289"/>
      <c r="C47" s="1108" t="s">
        <v>179</v>
      </c>
      <c r="D47" s="66"/>
      <c r="E47" s="66"/>
      <c r="F47" s="44"/>
      <c r="G47" s="36">
        <f t="shared" si="2"/>
        <v>0</v>
      </c>
      <c r="H47" s="499"/>
      <c r="I47" s="83"/>
    </row>
    <row r="48" spans="1:9" ht="18" thickBot="1" x14ac:dyDescent="0.35">
      <c r="A48" s="1459"/>
      <c r="B48" s="1311" t="s">
        <v>668</v>
      </c>
      <c r="C48" s="1311"/>
      <c r="D48" s="131">
        <f>SUM(D46:D47)</f>
        <v>0</v>
      </c>
      <c r="E48" s="131">
        <f t="shared" ref="E48:F48" si="9">SUM(E46:E47)</f>
        <v>0</v>
      </c>
      <c r="F48" s="131">
        <f t="shared" si="9"/>
        <v>0</v>
      </c>
      <c r="G48" s="133">
        <f t="shared" si="2"/>
        <v>0</v>
      </c>
      <c r="H48" s="499"/>
      <c r="I48" s="135"/>
    </row>
    <row r="49" spans="1:9" ht="17.25" thickBot="1" x14ac:dyDescent="0.35">
      <c r="A49" s="1391" t="s">
        <v>41</v>
      </c>
      <c r="B49" s="1392"/>
      <c r="C49" s="1393"/>
      <c r="D49" s="302">
        <f>SUM(D22,D27,D30,D37,D40,D45,D48)</f>
        <v>2690043000</v>
      </c>
      <c r="E49" s="302">
        <f t="shared" ref="E49:F49" si="10">SUM(E22,E27,E30,E37,E40,E45,E48)</f>
        <v>2492436530</v>
      </c>
      <c r="F49" s="302">
        <f t="shared" si="10"/>
        <v>2600407000</v>
      </c>
      <c r="G49" s="606">
        <f t="shared" si="2"/>
        <v>-89636000</v>
      </c>
      <c r="H49" s="523">
        <f>G49/D49*100%</f>
        <v>-3.3321400438580347E-2</v>
      </c>
      <c r="I49" s="78"/>
    </row>
    <row r="50" spans="1:9" ht="21" thickBot="1" x14ac:dyDescent="0.35">
      <c r="A50" s="1444" t="s">
        <v>738</v>
      </c>
      <c r="B50" s="1445"/>
      <c r="C50" s="1445"/>
      <c r="D50" s="1445"/>
      <c r="E50" s="1445"/>
      <c r="F50" s="1445"/>
      <c r="G50" s="1445"/>
      <c r="H50" s="1445"/>
      <c r="I50" s="1445"/>
    </row>
    <row r="51" spans="1:9" ht="17.45" customHeight="1" x14ac:dyDescent="0.3">
      <c r="A51" s="1314" t="s">
        <v>29</v>
      </c>
      <c r="B51" s="1315"/>
      <c r="C51" s="1315"/>
      <c r="D51" s="1273" t="s">
        <v>237</v>
      </c>
      <c r="E51" s="1273" t="s">
        <v>394</v>
      </c>
      <c r="F51" s="1273" t="s">
        <v>318</v>
      </c>
      <c r="G51" s="1273" t="s">
        <v>59</v>
      </c>
      <c r="H51" s="1275" t="s">
        <v>49</v>
      </c>
      <c r="I51" s="1277" t="s">
        <v>61</v>
      </c>
    </row>
    <row r="52" spans="1:9" ht="18" customHeight="1" thickBot="1" x14ac:dyDescent="0.35">
      <c r="A52" s="84" t="s">
        <v>0</v>
      </c>
      <c r="B52" s="136" t="s">
        <v>1</v>
      </c>
      <c r="C52" s="136" t="s">
        <v>2</v>
      </c>
      <c r="D52" s="1274"/>
      <c r="E52" s="1274"/>
      <c r="F52" s="1274"/>
      <c r="G52" s="1274"/>
      <c r="H52" s="1276"/>
      <c r="I52" s="1278"/>
    </row>
    <row r="53" spans="1:9" ht="84" customHeight="1" x14ac:dyDescent="0.3">
      <c r="A53" s="1302" t="s">
        <v>185</v>
      </c>
      <c r="B53" s="1323" t="s">
        <v>186</v>
      </c>
      <c r="C53" s="536" t="s">
        <v>17</v>
      </c>
      <c r="D53" s="43">
        <f>'5-1. 강서종합사회복지관'!D52+'5-2.강서종합사회복지관(재가노인지원서비스)'!D52+'5-3.강서구종합사회복지관(강서지역아동센터)'!D52+'5-4.강서구종합사회복지관(청소년지원센터)'!D52+'5-5.강서구종합사회복지관(자원봉사센터)'!D52+'5-6.강서구종합사회복지관(발달재활서비스)'!D52+'5-7.강서구종합사회복지관(심리치유서비스)'!D52</f>
        <v>1061541130</v>
      </c>
      <c r="E53" s="43">
        <f>'5-1. 강서종합사회복지관'!E52+'5-2.강서종합사회복지관(재가노인지원서비스)'!E52+'5-3.강서구종합사회복지관(강서지역아동센터)'!E52+'5-4.강서구종합사회복지관(청소년지원센터)'!E52+'5-5.강서구종합사회복지관(자원봉사센터)'!E52+'5-6.강서구종합사회복지관(발달재활서비스)'!E52+'5-7.강서구종합사회복지관(심리치유서비스)'!E52</f>
        <v>956673275</v>
      </c>
      <c r="F53" s="43">
        <f>'5-1. 강서종합사회복지관'!F52+'5-2.강서종합사회복지관(재가노인지원서비스)'!F52+'5-3.강서구종합사회복지관(강서지역아동센터)'!F52+'5-4.강서구종합사회복지관(청소년지원센터)'!F52+'5-5.강서구종합사회복지관(자원봉사센터)'!F52+'5-6.강서구종합사회복지관(발달재활서비스)'!F52+'5-7.강서구종합사회복지관(심리치유서비스)'!F52</f>
        <v>1046138080</v>
      </c>
      <c r="G53" s="43">
        <f>F53-D53</f>
        <v>-15403050</v>
      </c>
      <c r="H53" s="453">
        <f>G53/D53*100%</f>
        <v>-1.4510083090233159E-2</v>
      </c>
      <c r="I53" s="930" t="s">
        <v>416</v>
      </c>
    </row>
    <row r="54" spans="1:9" ht="103.5" customHeight="1" x14ac:dyDescent="0.3">
      <c r="A54" s="1303"/>
      <c r="B54" s="1289"/>
      <c r="C54" s="150" t="s">
        <v>32</v>
      </c>
      <c r="D54" s="35">
        <f>'5-1. 강서종합사회복지관'!D53+'5-2.강서종합사회복지관(재가노인지원서비스)'!D53+'5-3.강서구종합사회복지관(강서지역아동센터)'!D53+'5-4.강서구종합사회복지관(청소년지원센터)'!D53+'5-5.강서구종합사회복지관(자원봉사센터)'!D53+'5-6.강서구종합사회복지관(발달재활서비스)'!D53+'5-7.강서구종합사회복지관(심리치유서비스)'!D53</f>
        <v>160394970</v>
      </c>
      <c r="E54" s="35">
        <f>'5-1. 강서종합사회복지관'!E53+'5-2.강서종합사회복지관(재가노인지원서비스)'!E53+'5-3.강서구종합사회복지관(강서지역아동센터)'!E53+'5-4.강서구종합사회복지관(청소년지원센터)'!E53+'5-5.강서구종합사회복지관(자원봉사센터)'!E53+'5-6.강서구종합사회복지관(발달재활서비스)'!E53+'5-7.강서구종합사회복지관(심리치유서비스)'!E53</f>
        <v>150899210</v>
      </c>
      <c r="F54" s="35">
        <f>'5-1. 강서종합사회복지관'!F53+'5-2.강서종합사회복지관(재가노인지원서비스)'!F53+'5-3.강서구종합사회복지관(강서지역아동센터)'!F53+'5-4.강서구종합사회복지관(청소년지원센터)'!F53+'5-5.강서구종합사회복지관(자원봉사센터)'!F53+'5-6.강서구종합사회복지관(발달재활서비스)'!F53+'5-7.강서구종합사회복지관(심리치유서비스)'!F53</f>
        <v>159165960</v>
      </c>
      <c r="G54" s="35">
        <f t="shared" ref="G54:G117" si="11">F54-D54</f>
        <v>-1229010</v>
      </c>
      <c r="H54" s="130">
        <f t="shared" ref="H54:H117" si="12">G54/D54*100%</f>
        <v>-7.6623973931352089E-3</v>
      </c>
      <c r="I54" s="533" t="s">
        <v>417</v>
      </c>
    </row>
    <row r="55" spans="1:9" x14ac:dyDescent="0.3">
      <c r="A55" s="1303"/>
      <c r="B55" s="1289"/>
      <c r="C55" s="150" t="s">
        <v>180</v>
      </c>
      <c r="D55" s="35"/>
      <c r="E55" s="35"/>
      <c r="F55" s="35"/>
      <c r="G55" s="35"/>
      <c r="H55" s="130"/>
      <c r="I55" s="643"/>
    </row>
    <row r="56" spans="1:9" ht="104.25" customHeight="1" x14ac:dyDescent="0.3">
      <c r="A56" s="1303"/>
      <c r="B56" s="1289"/>
      <c r="C56" s="150" t="s">
        <v>84</v>
      </c>
      <c r="D56" s="35">
        <f>'5-1. 강서종합사회복지관'!D55+'5-2.강서종합사회복지관(재가노인지원서비스)'!D55+'5-3.강서구종합사회복지관(강서지역아동센터)'!D55+'5-4.강서구종합사회복지관(청소년지원센터)'!D55+'5-5.강서구종합사회복지관(자원봉사센터)'!D55+'5-6.강서구종합사회복지관(발달재활서비스)'!D55+'5-7.강서구종합사회복지관(심리치유서비스)'!D55</f>
        <v>104567240</v>
      </c>
      <c r="E56" s="35">
        <f>'5-1. 강서종합사회복지관'!E55+'5-2.강서종합사회복지관(재가노인지원서비스)'!E55+'5-3.강서구종합사회복지관(강서지역아동센터)'!E55+'5-4.강서구종합사회복지관(청소년지원센터)'!E55+'5-5.강서구종합사회복지관(자원봉사센터)'!E55+'5-6.강서구종합사회복지관(발달재활서비스)'!E55+'5-7.강서구종합사회복지관(심리치유서비스)'!E55</f>
        <v>95511270</v>
      </c>
      <c r="F56" s="35">
        <f>'5-1. 강서종합사회복지관'!F55+'5-2.강서종합사회복지관(재가노인지원서비스)'!F55+'5-3.강서구종합사회복지관(강서지역아동센터)'!F55+'5-4.강서구종합사회복지관(청소년지원센터)'!F55+'5-5.강서구종합사회복지관(자원봉사센터)'!F55+'5-6.강서구종합사회복지관(발달재활서비스)'!F55+'5-7.강서구종합사회복지관(심리치유서비스)'!F55</f>
        <v>104028220</v>
      </c>
      <c r="G56" s="35">
        <f t="shared" si="11"/>
        <v>-539020</v>
      </c>
      <c r="H56" s="130">
        <f t="shared" si="12"/>
        <v>-5.1547693139839977E-3</v>
      </c>
      <c r="I56" s="534" t="s">
        <v>696</v>
      </c>
    </row>
    <row r="57" spans="1:9" ht="100.15" customHeight="1" x14ac:dyDescent="0.3">
      <c r="A57" s="1303"/>
      <c r="B57" s="1289"/>
      <c r="C57" s="150" t="s">
        <v>33</v>
      </c>
      <c r="D57" s="35">
        <f>'5-1. 강서종합사회복지관'!D56+'5-2.강서종합사회복지관(재가노인지원서비스)'!D56+'5-3.강서구종합사회복지관(강서지역아동센터)'!D56+'5-4.강서구종합사회복지관(청소년지원센터)'!D56+'5-5.강서구종합사회복지관(자원봉사센터)'!D56+'5-6.강서구종합사회복지관(발달재활서비스)'!D56+'5-7.강서구종합사회복지관(심리치유서비스)'!D56</f>
        <v>123380870</v>
      </c>
      <c r="E57" s="35">
        <f>'5-1. 강서종합사회복지관'!E56+'5-2.강서종합사회복지관(재가노인지원서비스)'!E56+'5-3.강서구종합사회복지관(강서지역아동센터)'!E56+'5-4.강서구종합사회복지관(청소년지원센터)'!E56+'5-5.강서구종합사회복지관(자원봉사센터)'!E56+'5-6.강서구종합사회복지관(발달재활서비스)'!E56+'5-7.강서구종합사회복지관(심리치유서비스)'!E56</f>
        <v>104568000</v>
      </c>
      <c r="F57" s="35">
        <f>'5-1. 강서종합사회복지관'!F56+'5-2.강서종합사회복지관(재가노인지원서비스)'!F56+'5-3.강서구종합사회복지관(강서지역아동센터)'!F56+'5-4.강서구종합사회복지관(청소년지원센터)'!F56+'5-5.강서구종합사회복지관(자원봉사센터)'!F56+'5-6.강서구종합사회복지관(발달재활서비스)'!F56+'5-7.강서구종합사회복지관(심리치유서비스)'!F56</f>
        <v>116621940</v>
      </c>
      <c r="G57" s="35">
        <f t="shared" si="11"/>
        <v>-6758930</v>
      </c>
      <c r="H57" s="130">
        <f t="shared" si="12"/>
        <v>-5.4781020753055153E-2</v>
      </c>
      <c r="I57" s="534" t="s">
        <v>418</v>
      </c>
    </row>
    <row r="58" spans="1:9" ht="35.25" customHeight="1" x14ac:dyDescent="0.3">
      <c r="A58" s="1303"/>
      <c r="B58" s="1289"/>
      <c r="C58" s="150" t="s">
        <v>18</v>
      </c>
      <c r="D58" s="35">
        <f>'5-1. 강서종합사회복지관'!D57+'5-2.강서종합사회복지관(재가노인지원서비스)'!D57+'5-3.강서구종합사회복지관(강서지역아동센터)'!D57+'5-4.강서구종합사회복지관(청소년지원센터)'!D57+'5-5.강서구종합사회복지관(자원봉사센터)'!D57+'5-6.강서구종합사회복지관(발달재활서비스)'!D57+'5-7.강서구종합사회복지관(심리치유서비스)'!D57</f>
        <v>5747340</v>
      </c>
      <c r="E58" s="35">
        <f>'5-1. 강서종합사회복지관'!E57+'5-2.강서종합사회복지관(재가노인지원서비스)'!E57+'5-3.강서구종합사회복지관(강서지역아동센터)'!E57+'5-4.강서구종합사회복지관(청소년지원센터)'!E57+'5-5.강서구종합사회복지관(자원봉사센터)'!E57+'5-6.강서구종합사회복지관(발달재활서비스)'!E57+'5-7.강서구종합사회복지관(심리치유서비스)'!E57</f>
        <v>4360660</v>
      </c>
      <c r="F58" s="35">
        <f>'5-1. 강서종합사회복지관'!F57+'5-2.강서종합사회복지관(재가노인지원서비스)'!F57+'5-3.강서구종합사회복지관(강서지역아동센터)'!F57+'5-4.강서구종합사회복지관(청소년지원센터)'!F57+'5-5.강서구종합사회복지관(자원봉사센터)'!F57+'5-6.강서구종합사회복지관(발달재활서비스)'!F57+'5-7.강서구종합사회복지관(심리치유서비스)'!F57</f>
        <v>5335620</v>
      </c>
      <c r="G58" s="35">
        <f t="shared" si="11"/>
        <v>-411720</v>
      </c>
      <c r="H58" s="130">
        <f t="shared" si="12"/>
        <v>-7.1636617983275738E-2</v>
      </c>
      <c r="I58" s="534" t="s">
        <v>419</v>
      </c>
    </row>
    <row r="59" spans="1:9" ht="17.25" thickBot="1" x14ac:dyDescent="0.35">
      <c r="A59" s="1303"/>
      <c r="B59" s="1324"/>
      <c r="C59" s="1109" t="s">
        <v>726</v>
      </c>
      <c r="D59" s="539">
        <f>SUM(D53:D58)</f>
        <v>1455631550</v>
      </c>
      <c r="E59" s="539">
        <f t="shared" ref="E59:F59" si="13">SUM(E53:E58)</f>
        <v>1312012415</v>
      </c>
      <c r="F59" s="539">
        <f t="shared" si="13"/>
        <v>1431289820</v>
      </c>
      <c r="G59" s="605">
        <f t="shared" si="11"/>
        <v>-24341730</v>
      </c>
      <c r="H59" s="540">
        <f t="shared" si="12"/>
        <v>-1.6722452876210329E-2</v>
      </c>
      <c r="I59" s="737"/>
    </row>
    <row r="60" spans="1:9" ht="17.25" customHeight="1" x14ac:dyDescent="0.3">
      <c r="A60" s="1303"/>
      <c r="B60" s="1323" t="s">
        <v>90</v>
      </c>
      <c r="C60" s="149" t="s">
        <v>19</v>
      </c>
      <c r="D60" s="541">
        <f>'5-1. 강서종합사회복지관'!D59+'5-2.강서종합사회복지관(재가노인지원서비스)'!D59+'5-3.강서구종합사회복지관(강서지역아동센터)'!D59+'5-4.강서구종합사회복지관(청소년지원센터)'!D59+'5-5.강서구종합사회복지관(자원봉사센터)'!D59+'5-6.강서구종합사회복지관(발달재활서비스)'!D59+'5-7.강서구종합사회복지관(심리치유서비스)'!D59</f>
        <v>2850000</v>
      </c>
      <c r="E60" s="541">
        <f>'5-1. 강서종합사회복지관'!E59+'5-2.강서종합사회복지관(재가노인지원서비스)'!E59+'5-3.강서구종합사회복지관(강서지역아동센터)'!E59+'5-4.강서구종합사회복지관(청소년지원센터)'!E59+'5-5.강서구종합사회복지관(자원봉사센터)'!E59+'5-6.강서구종합사회복지관(발달재활서비스)'!E59+'5-7.강서구종합사회복지관(심리치유서비스)'!E59</f>
        <v>716550</v>
      </c>
      <c r="F60" s="541">
        <f>'5-1. 강서종합사회복지관'!F59+'5-2.강서종합사회복지관(재가노인지원서비스)'!F59+'5-3.강서구종합사회복지관(강서지역아동센터)'!F59+'5-4.강서구종합사회복지관(청소년지원센터)'!F59+'5-5.강서구종합사회복지관(자원봉사센터)'!F59+'5-6.강서구종합사회복지관(발달재활서비스)'!F59+'5-7.강서구종합사회복지관(심리치유서비스)'!F59</f>
        <v>1413000</v>
      </c>
      <c r="G60" s="43">
        <f t="shared" si="11"/>
        <v>-1437000</v>
      </c>
      <c r="H60" s="453">
        <f t="shared" si="12"/>
        <v>-0.50421052631578944</v>
      </c>
      <c r="I60" s="661" t="s">
        <v>420</v>
      </c>
    </row>
    <row r="61" spans="1:9" ht="17.25" customHeight="1" x14ac:dyDescent="0.3">
      <c r="A61" s="1303"/>
      <c r="B61" s="1289"/>
      <c r="C61" s="219" t="s">
        <v>182</v>
      </c>
      <c r="D61" s="77">
        <f>'5-1. 강서종합사회복지관'!D60+'5-2.강서종합사회복지관(재가노인지원서비스)'!D60+'5-3.강서구종합사회복지관(강서지역아동센터)'!D60+'5-4.강서구종합사회복지관(청소년지원센터)'!D60+'5-5.강서구종합사회복지관(자원봉사센터)'!D60+'5-6.강서구종합사회복지관(발달재활서비스)'!D60+'5-7.강서구종합사회복지관(심리치유서비스)'!D60</f>
        <v>4200000</v>
      </c>
      <c r="E61" s="77">
        <f>'5-1. 강서종합사회복지관'!E60+'5-2.강서종합사회복지관(재가노인지원서비스)'!E60+'5-3.강서구종합사회복지관(강서지역아동센터)'!E60+'5-4.강서구종합사회복지관(청소년지원센터)'!E60+'5-5.강서구종합사회복지관(자원봉사센터)'!E60+'5-6.강서구종합사회복지관(발달재활서비스)'!E60+'5-7.강서구종합사회복지관(심리치유서비스)'!E60</f>
        <v>3850000</v>
      </c>
      <c r="F61" s="77">
        <f>'5-1. 강서종합사회복지관'!F60+'5-2.강서종합사회복지관(재가노인지원서비스)'!F60+'5-3.강서구종합사회복지관(강서지역아동센터)'!F60+'5-4.강서구종합사회복지관(청소년지원센터)'!F60+'5-5.강서구종합사회복지관(자원봉사센터)'!F60+'5-6.강서구종합사회복지관(발달재활서비스)'!F60+'5-7.강서구종합사회복지관(심리치유서비스)'!F60</f>
        <v>4200000</v>
      </c>
      <c r="G61" s="36">
        <f t="shared" si="11"/>
        <v>0</v>
      </c>
      <c r="H61" s="130">
        <f t="shared" si="12"/>
        <v>0</v>
      </c>
      <c r="I61" s="37"/>
    </row>
    <row r="62" spans="1:9" x14ac:dyDescent="0.3">
      <c r="A62" s="1303"/>
      <c r="B62" s="1289"/>
      <c r="C62" s="150" t="s">
        <v>20</v>
      </c>
      <c r="D62" s="77">
        <f>'5-1. 강서종합사회복지관'!D61+'5-2.강서종합사회복지관(재가노인지원서비스)'!D61+'5-3.강서구종합사회복지관(강서지역아동센터)'!D61+'5-4.강서구종합사회복지관(청소년지원센터)'!D61+'5-5.강서구종합사회복지관(자원봉사센터)'!D61+'5-6.강서구종합사회복지관(발달재활서비스)'!D61+'5-7.강서구종합사회복지관(심리치유서비스)'!D61</f>
        <v>3740000</v>
      </c>
      <c r="E62" s="77">
        <f>'5-1. 강서종합사회복지관'!E61+'5-2.강서종합사회복지관(재가노인지원서비스)'!E61+'5-3.강서구종합사회복지관(강서지역아동센터)'!E61+'5-4.강서구종합사회복지관(청소년지원센터)'!E61+'5-5.강서구종합사회복지관(자원봉사센터)'!E61+'5-6.강서구종합사회복지관(발달재활서비스)'!E61+'5-7.강서구종합사회복지관(심리치유서비스)'!E61</f>
        <v>1934700</v>
      </c>
      <c r="F62" s="77">
        <f>'5-1. 강서종합사회복지관'!F61+'5-2.강서종합사회복지관(재가노인지원서비스)'!F61+'5-3.강서구종합사회복지관(강서지역아동센터)'!F61+'5-4.강서구종합사회복지관(청소년지원센터)'!F61+'5-5.강서구종합사회복지관(자원봉사센터)'!F61+'5-6.강서구종합사회복지관(발달재활서비스)'!F61+'5-7.강서구종합사회복지관(심리치유서비스)'!F61</f>
        <v>3800000</v>
      </c>
      <c r="G62" s="36">
        <f t="shared" si="11"/>
        <v>60000</v>
      </c>
      <c r="H62" s="130">
        <f t="shared" si="12"/>
        <v>1.6042780748663103E-2</v>
      </c>
      <c r="I62" s="643" t="s">
        <v>421</v>
      </c>
    </row>
    <row r="63" spans="1:9" ht="17.25" thickBot="1" x14ac:dyDescent="0.35">
      <c r="A63" s="1303"/>
      <c r="B63" s="1324"/>
      <c r="C63" s="1207" t="s">
        <v>726</v>
      </c>
      <c r="D63" s="539">
        <f>SUM(D60:D62)</f>
        <v>10790000</v>
      </c>
      <c r="E63" s="539">
        <f t="shared" ref="E63:F63" si="14">SUM(E60:E62)</f>
        <v>6501250</v>
      </c>
      <c r="F63" s="539">
        <f t="shared" si="14"/>
        <v>9413000</v>
      </c>
      <c r="G63" s="605">
        <f t="shared" si="11"/>
        <v>-1377000</v>
      </c>
      <c r="H63" s="540">
        <f t="shared" si="12"/>
        <v>-0.12761816496756256</v>
      </c>
      <c r="I63" s="41"/>
    </row>
    <row r="64" spans="1:9" ht="31.5" customHeight="1" x14ac:dyDescent="0.3">
      <c r="A64" s="1303"/>
      <c r="B64" s="1288" t="s">
        <v>131</v>
      </c>
      <c r="C64" s="219" t="s">
        <v>21</v>
      </c>
      <c r="D64" s="36">
        <f>'5-1. 강서종합사회복지관'!D63+'5-2.강서종합사회복지관(재가노인지원서비스)'!D63+'5-3.강서구종합사회복지관(강서지역아동센터)'!D63+'5-4.강서구종합사회복지관(청소년지원센터)'!D63+'5-5.강서구종합사회복지관(자원봉사센터)'!D63+'5-6.강서구종합사회복지관(발달재활서비스)'!D63+'5-7.강서구종합사회복지관(심리치유서비스)'!D63</f>
        <v>9300000</v>
      </c>
      <c r="E64" s="36">
        <f>'5-1. 강서종합사회복지관'!E63+'5-2.강서종합사회복지관(재가노인지원서비스)'!E63+'5-3.강서구종합사회복지관(강서지역아동센터)'!E63+'5-4.강서구종합사회복지관(청소년지원센터)'!E63+'5-5.강서구종합사회복지관(자원봉사센터)'!E63+'5-6.강서구종합사회복지관(발달재활서비스)'!E63+'5-7.강서구종합사회복지관(심리치유서비스)'!E63</f>
        <v>5354870</v>
      </c>
      <c r="F64" s="36">
        <f>'5-1. 강서종합사회복지관'!F63+'5-2.강서종합사회복지관(재가노인지원서비스)'!F63+'5-3.강서구종합사회복지관(강서지역아동센터)'!F63+'5-4.강서구종합사회복지관(청소년지원센터)'!F63+'5-5.강서구종합사회복지관(자원봉사센터)'!F63+'5-6.강서구종합사회복지관(발달재활서비스)'!F63+'5-7.강서구종합사회복지관(심리치유서비스)'!F63</f>
        <v>8314070</v>
      </c>
      <c r="G64" s="35">
        <f t="shared" si="11"/>
        <v>-985930</v>
      </c>
      <c r="H64" s="130">
        <f t="shared" si="12"/>
        <v>-0.10601397849462366</v>
      </c>
      <c r="I64" s="534" t="s">
        <v>422</v>
      </c>
    </row>
    <row r="65" spans="1:9" ht="52.9" customHeight="1" x14ac:dyDescent="0.3">
      <c r="A65" s="1303"/>
      <c r="B65" s="1289"/>
      <c r="C65" s="150" t="s">
        <v>34</v>
      </c>
      <c r="D65" s="36">
        <f>'5-1. 강서종합사회복지관'!D64+'5-2.강서종합사회복지관(재가노인지원서비스)'!D64+'5-3.강서구종합사회복지관(강서지역아동센터)'!D64+'5-4.강서구종합사회복지관(청소년지원센터)'!D64+'5-5.강서구종합사회복지관(자원봉사센터)'!D64+'5-6.강서구종합사회복지관(발달재활서비스)'!D64+'5-7.강서구종합사회복지관(심리치유서비스)'!D64</f>
        <v>50052602</v>
      </c>
      <c r="E65" s="36">
        <f>'5-1. 강서종합사회복지관'!E64+'5-2.강서종합사회복지관(재가노인지원서비스)'!E64+'5-3.강서구종합사회복지관(강서지역아동센터)'!E64+'5-4.강서구종합사회복지관(청소년지원센터)'!E64+'5-5.강서구종합사회복지관(자원봉사센터)'!E64+'5-6.강서구종합사회복지관(발달재활서비스)'!E64+'5-7.강서구종합사회복지관(심리치유서비스)'!E64</f>
        <v>40581836</v>
      </c>
      <c r="F65" s="36">
        <f>'5-1. 강서종합사회복지관'!F64+'5-2.강서종합사회복지관(재가노인지원서비스)'!F64+'5-3.강서구종합사회복지관(강서지역아동센터)'!F64+'5-4.강서구종합사회복지관(청소년지원센터)'!F64+'5-5.강서구종합사회복지관(자원봉사센터)'!F64+'5-6.강서구종합사회복지관(발달재활서비스)'!F64+'5-7.강서구종합사회복지관(심리치유서비스)'!F64</f>
        <v>52782823</v>
      </c>
      <c r="G65" s="36">
        <f t="shared" si="11"/>
        <v>2730221</v>
      </c>
      <c r="H65" s="130">
        <f t="shared" si="12"/>
        <v>5.4547034337995057E-2</v>
      </c>
      <c r="I65" s="534" t="s">
        <v>697</v>
      </c>
    </row>
    <row r="66" spans="1:9" ht="33.6" customHeight="1" x14ac:dyDescent="0.3">
      <c r="A66" s="1303"/>
      <c r="B66" s="1289"/>
      <c r="C66" s="150" t="s">
        <v>23</v>
      </c>
      <c r="D66" s="36">
        <f>'5-1. 강서종합사회복지관'!D65+'5-2.강서종합사회복지관(재가노인지원서비스)'!D65+'5-3.강서구종합사회복지관(강서지역아동센터)'!D65+'5-4.강서구종합사회복지관(청소년지원센터)'!D65+'5-5.강서구종합사회복지관(자원봉사센터)'!D65+'5-6.강서구종합사회복지관(발달재활서비스)'!D65+'5-7.강서구종합사회복지관(심리치유서비스)'!D65</f>
        <v>23256000</v>
      </c>
      <c r="E66" s="36">
        <f>'5-1. 강서종합사회복지관'!E65+'5-2.강서종합사회복지관(재가노인지원서비스)'!E65+'5-3.강서구종합사회복지관(강서지역아동센터)'!E65+'5-4.강서구종합사회복지관(청소년지원센터)'!E65+'5-5.강서구종합사회복지관(자원봉사센터)'!E65+'5-6.강서구종합사회복지관(발달재활서비스)'!E65+'5-7.강서구종합사회복지관(심리치유서비스)'!E65</f>
        <v>19577100</v>
      </c>
      <c r="F66" s="36">
        <f>'5-1. 강서종합사회복지관'!F65+'5-2.강서종합사회복지관(재가노인지원서비스)'!F65+'5-3.강서구종합사회복지관(강서지역아동센터)'!F65+'5-4.강서구종합사회복지관(청소년지원센터)'!F65+'5-5.강서구종합사회복지관(자원봉사센터)'!F65+'5-6.강서구종합사회복지관(발달재활서비스)'!F65+'5-7.강서구종합사회복지관(심리치유서비스)'!F65</f>
        <v>23150520</v>
      </c>
      <c r="G66" s="36">
        <f t="shared" si="11"/>
        <v>-105480</v>
      </c>
      <c r="H66" s="130">
        <f t="shared" si="12"/>
        <v>-4.5356037151702789E-3</v>
      </c>
      <c r="I66" s="534" t="s">
        <v>698</v>
      </c>
    </row>
    <row r="67" spans="1:9" ht="66" customHeight="1" x14ac:dyDescent="0.3">
      <c r="A67" s="1303"/>
      <c r="B67" s="1289"/>
      <c r="C67" s="150" t="s">
        <v>24</v>
      </c>
      <c r="D67" s="36">
        <f>'5-1. 강서종합사회복지관'!D66+'5-2.강서종합사회복지관(재가노인지원서비스)'!D66+'5-3.강서구종합사회복지관(강서지역아동센터)'!D66+'5-4.강서구종합사회복지관(청소년지원센터)'!D66+'5-5.강서구종합사회복지관(자원봉사센터)'!D66+'5-6.강서구종합사회복지관(발달재활서비스)'!D66+'5-7.강서구종합사회복지관(심리치유서비스)'!D66</f>
        <v>30727090</v>
      </c>
      <c r="E67" s="36">
        <f>'5-1. 강서종합사회복지관'!E66+'5-2.강서종합사회복지관(재가노인지원서비스)'!E66+'5-3.강서구종합사회복지관(강서지역아동센터)'!E66+'5-4.강서구종합사회복지관(청소년지원센터)'!E66+'5-5.강서구종합사회복지관(자원봉사센터)'!E66+'5-6.강서구종합사회복지관(발달재활서비스)'!E66+'5-7.강서구종합사회복지관(심리치유서비스)'!E66</f>
        <v>27743890</v>
      </c>
      <c r="F67" s="36">
        <f>'5-1. 강서종합사회복지관'!F66+'5-2.강서종합사회복지관(재가노인지원서비스)'!F66+'5-3.강서구종합사회복지관(강서지역아동센터)'!F66+'5-4.강서구종합사회복지관(청소년지원센터)'!F66+'5-5.강서구종합사회복지관(자원봉사센터)'!F66+'5-6.강서구종합사회복지관(발달재활서비스)'!F66+'5-7.강서구종합사회복지관(심리치유서비스)'!F66</f>
        <v>31410040</v>
      </c>
      <c r="G67" s="36">
        <f t="shared" si="11"/>
        <v>682950</v>
      </c>
      <c r="H67" s="130">
        <f t="shared" si="12"/>
        <v>2.2226315606196357E-2</v>
      </c>
      <c r="I67" s="534" t="s">
        <v>699</v>
      </c>
    </row>
    <row r="68" spans="1:9" ht="31.15" customHeight="1" x14ac:dyDescent="0.3">
      <c r="A68" s="1303"/>
      <c r="B68" s="1289"/>
      <c r="C68" s="150" t="s">
        <v>35</v>
      </c>
      <c r="D68" s="36">
        <f>'5-1. 강서종합사회복지관'!D67+'5-2.강서종합사회복지관(재가노인지원서비스)'!D67+'5-3.강서구종합사회복지관(강서지역아동센터)'!D67+'5-4.강서구종합사회복지관(청소년지원센터)'!D67+'5-5.강서구종합사회복지관(자원봉사센터)'!D67+'5-6.강서구종합사회복지관(발달재활서비스)'!D67+'5-7.강서구종합사회복지관(심리치유서비스)'!D67</f>
        <v>25247500</v>
      </c>
      <c r="E68" s="36">
        <f>'5-1. 강서종합사회복지관'!E67+'5-2.강서종합사회복지관(재가노인지원서비스)'!E67+'5-3.강서구종합사회복지관(강서지역아동센터)'!E67+'5-4.강서구종합사회복지관(청소년지원센터)'!E67+'5-5.강서구종합사회복지관(자원봉사센터)'!E67+'5-6.강서구종합사회복지관(발달재활서비스)'!E67+'5-7.강서구종합사회복지관(심리치유서비스)'!E67</f>
        <v>15795290</v>
      </c>
      <c r="F68" s="36">
        <f>'5-1. 강서종합사회복지관'!F67+'5-2.강서종합사회복지관(재가노인지원서비스)'!F67+'5-3.강서구종합사회복지관(강서지역아동센터)'!F67+'5-4.강서구종합사회복지관(청소년지원센터)'!F67+'5-5.강서구종합사회복지관(자원봉사센터)'!F67+'5-6.강서구종합사회복지관(발달재활서비스)'!F67+'5-7.강서구종합사회복지관(심리치유서비스)'!F67</f>
        <v>21040049</v>
      </c>
      <c r="G68" s="908">
        <f t="shared" si="11"/>
        <v>-4207451</v>
      </c>
      <c r="H68" s="130">
        <f t="shared" si="12"/>
        <v>-0.16664822259629666</v>
      </c>
      <c r="I68" s="550" t="s">
        <v>700</v>
      </c>
    </row>
    <row r="69" spans="1:9" ht="21" customHeight="1" x14ac:dyDescent="0.3">
      <c r="A69" s="1303"/>
      <c r="B69" s="1289"/>
      <c r="C69" s="1072" t="s">
        <v>710</v>
      </c>
      <c r="D69" s="36">
        <f>'5-1. 강서종합사회복지관'!D68+'5-2.강서종합사회복지관(재가노인지원서비스)'!D68+'5-3.강서구종합사회복지관(강서지역아동센터)'!D68+'5-4.강서구종합사회복지관(청소년지원센터)'!D68+'5-5.강서구종합사회복지관(자원봉사센터)'!D68+'5-6.강서구종합사회복지관(발달재활서비스)'!D68+'5-7.강서구종합사회복지관(심리치유서비스)'!D68</f>
        <v>5343000</v>
      </c>
      <c r="E69" s="36">
        <f>'5-1. 강서종합사회복지관'!E68+'5-2.강서종합사회복지관(재가노인지원서비스)'!E68+'5-3.강서구종합사회복지관(강서지역아동센터)'!E68+'5-4.강서구종합사회복지관(청소년지원센터)'!E68+'5-5.강서구종합사회복지관(자원봉사센터)'!E68+'5-6.강서구종합사회복지관(발달재활서비스)'!E68+'5-7.강서구종합사회복지관(심리치유서비스)'!E68</f>
        <v>3343000</v>
      </c>
      <c r="F69" s="36">
        <f>'5-1. 강서종합사회복지관'!F68+'5-2.강서종합사회복지관(재가노인지원서비스)'!F68+'5-3.강서구종합사회복지관(강서지역아동센터)'!F68+'5-4.강서구종합사회복지관(청소년지원센터)'!F68+'5-5.강서구종합사회복지관(자원봉사센터)'!F68+'5-6.강서구종합사회복지관(발달재활서비스)'!F68+'5-7.강서구종합사회복지관(심리치유서비스)'!F68</f>
        <v>3343000</v>
      </c>
      <c r="G69" s="44">
        <f t="shared" si="11"/>
        <v>-2000000</v>
      </c>
      <c r="H69" s="130">
        <f t="shared" si="12"/>
        <v>-0.37432154220475389</v>
      </c>
      <c r="I69" s="83"/>
    </row>
    <row r="70" spans="1:9" ht="21" customHeight="1" x14ac:dyDescent="0.3">
      <c r="A70" s="1303"/>
      <c r="B70" s="1289"/>
      <c r="C70" s="146" t="s">
        <v>36</v>
      </c>
      <c r="D70" s="36">
        <f>'5-1. 강서종합사회복지관'!D69+'5-2.강서종합사회복지관(재가노인지원서비스)'!D69+'5-3.강서구종합사회복지관(강서지역아동센터)'!D69+'5-4.강서구종합사회복지관(청소년지원센터)'!D69+'5-5.강서구종합사회복지관(자원봉사센터)'!D69+'5-6.강서구종합사회복지관(발달재활서비스)'!D69+'5-7.강서구종합사회복지관(심리치유서비스)'!D69</f>
        <v>30035000</v>
      </c>
      <c r="E70" s="36">
        <f>'5-1. 강서종합사회복지관'!E69+'5-2.강서종합사회복지관(재가노인지원서비스)'!E69+'5-3.강서구종합사회복지관(강서지역아동센터)'!E69+'5-4.강서구종합사회복지관(청소년지원센터)'!E69+'5-5.강서구종합사회복지관(자원봉사센터)'!E69+'5-6.강서구종합사회복지관(발달재활서비스)'!E69+'5-7.강서구종합사회복지관(심리치유서비스)'!E69</f>
        <v>21348460</v>
      </c>
      <c r="F70" s="36">
        <f>'5-1. 강서종합사회복지관'!F69+'5-2.강서종합사회복지관(재가노인지원서비스)'!F69+'5-3.강서구종합사회복지관(강서지역아동센터)'!F69+'5-4.강서구종합사회복지관(청소년지원센터)'!F69+'5-5.강서구종합사회복지관(자원봉사센터)'!F69+'5-6.강서구종합사회복지관(발달재활서비스)'!F69+'5-7.강서구종합사회복지관(심리치유서비스)'!F69</f>
        <v>26288840</v>
      </c>
      <c r="G70" s="44">
        <f t="shared" si="11"/>
        <v>-3746160</v>
      </c>
      <c r="H70" s="130">
        <f t="shared" si="12"/>
        <v>-0.12472648576660562</v>
      </c>
      <c r="I70" s="83"/>
    </row>
    <row r="71" spans="1:9" ht="17.25" thickBot="1" x14ac:dyDescent="0.35">
      <c r="A71" s="1303"/>
      <c r="B71" s="1289"/>
      <c r="C71" s="1207" t="s">
        <v>726</v>
      </c>
      <c r="D71" s="300">
        <f>SUM(D64:D70)</f>
        <v>173961192</v>
      </c>
      <c r="E71" s="300">
        <f t="shared" ref="E71:F71" si="15">SUM(E64:E70)</f>
        <v>133744446</v>
      </c>
      <c r="F71" s="300">
        <f t="shared" si="15"/>
        <v>166329342</v>
      </c>
      <c r="G71" s="35">
        <f t="shared" si="11"/>
        <v>-7631850</v>
      </c>
      <c r="H71" s="130">
        <f t="shared" si="12"/>
        <v>-4.3870991640480368E-2</v>
      </c>
      <c r="I71" s="37"/>
    </row>
    <row r="72" spans="1:9" ht="17.25" thickBot="1" x14ac:dyDescent="0.35">
      <c r="A72" s="1304"/>
      <c r="B72" s="1470" t="s">
        <v>668</v>
      </c>
      <c r="C72" s="1470"/>
      <c r="D72" s="576">
        <f>SUM(D59,D63,D71)</f>
        <v>1640382742</v>
      </c>
      <c r="E72" s="611">
        <f t="shared" ref="E72:F72" si="16">SUM(E59,E63,E71)</f>
        <v>1452258111</v>
      </c>
      <c r="F72" s="576">
        <f t="shared" si="16"/>
        <v>1607032162</v>
      </c>
      <c r="G72" s="605">
        <f t="shared" si="11"/>
        <v>-33350580</v>
      </c>
      <c r="H72" s="540">
        <f t="shared" si="12"/>
        <v>-2.0330974684199647E-2</v>
      </c>
      <c r="I72" s="41"/>
    </row>
    <row r="73" spans="1:9" ht="18" customHeight="1" x14ac:dyDescent="0.3">
      <c r="A73" s="1325" t="s">
        <v>189</v>
      </c>
      <c r="B73" s="1323" t="s">
        <v>42</v>
      </c>
      <c r="C73" s="149" t="s">
        <v>11</v>
      </c>
      <c r="D73" s="567">
        <f>'5-1. 강서종합사회복지관'!D72+'5-2.강서종합사회복지관(재가노인지원서비스)'!D72+'5-3.강서구종합사회복지관(강서지역아동센터)'!D72+'5-4.강서구종합사회복지관(청소년지원센터)'!D72+'5-5.강서구종합사회복지관(자원봉사센터)'!D72+'5-6.강서구종합사회복지관(발달재활서비스)'!D72+'5-7.강서구종합사회복지관(심리치유서비스)'!D72</f>
        <v>23563300</v>
      </c>
      <c r="E73" s="567">
        <f>'5-1. 강서종합사회복지관'!E72+'5-2.강서종합사회복지관(재가노인지원서비스)'!E72+'5-3.강서구종합사회복지관(강서지역아동센터)'!E72+'5-4.강서구종합사회복지관(청소년지원센터)'!E72+'5-5.강서구종합사회복지관(자원봉사센터)'!E72+'5-6.강서구종합사회복지관(발달재활서비스)'!E72+'5-7.강서구종합사회복지관(심리치유서비스)'!E72</f>
        <v>18420670</v>
      </c>
      <c r="F73" s="567">
        <f>'5-1. 강서종합사회복지관'!F72+'5-2.강서종합사회복지관(재가노인지원서비스)'!F72+'5-3.강서구종합사회복지관(강서지역아동센터)'!F72+'5-4.강서구종합사회복지관(청소년지원센터)'!F72+'5-5.강서구종합사회복지관(자원봉사센터)'!F72+'5-6.강서구종합사회복지관(발달재활서비스)'!F72+'5-7.강서구종합사회복지관(심리치유서비스)'!F72</f>
        <v>23316170</v>
      </c>
      <c r="G73" s="748">
        <f t="shared" si="11"/>
        <v>-247130</v>
      </c>
      <c r="H73" s="130">
        <f t="shared" si="12"/>
        <v>-1.0487919773546151E-2</v>
      </c>
      <c r="I73" s="533" t="s">
        <v>685</v>
      </c>
    </row>
    <row r="74" spans="1:9" ht="20.25" customHeight="1" x14ac:dyDescent="0.3">
      <c r="A74" s="1325"/>
      <c r="B74" s="1288"/>
      <c r="C74" s="942" t="s">
        <v>334</v>
      </c>
      <c r="D74" s="567"/>
      <c r="E74" s="567"/>
      <c r="F74" s="567"/>
      <c r="G74" s="35"/>
      <c r="H74" s="130"/>
      <c r="I74" s="37"/>
    </row>
    <row r="75" spans="1:9" ht="20.25" customHeight="1" x14ac:dyDescent="0.3">
      <c r="A75" s="1326"/>
      <c r="B75" s="1289"/>
      <c r="C75" s="943" t="s">
        <v>37</v>
      </c>
      <c r="D75" s="209">
        <v>15495000</v>
      </c>
      <c r="E75" s="44">
        <v>2013000</v>
      </c>
      <c r="F75" s="77">
        <v>10495000</v>
      </c>
      <c r="G75" s="35">
        <f t="shared" si="11"/>
        <v>-5000000</v>
      </c>
      <c r="H75" s="130">
        <f t="shared" si="12"/>
        <v>-0.32268473701193934</v>
      </c>
      <c r="I75" s="643" t="s">
        <v>686</v>
      </c>
    </row>
    <row r="76" spans="1:9" ht="17.25" thickBot="1" x14ac:dyDescent="0.35">
      <c r="A76" s="1327"/>
      <c r="B76" s="1311" t="s">
        <v>668</v>
      </c>
      <c r="C76" s="1311"/>
      <c r="D76" s="569">
        <f>SUM(D73:D75)</f>
        <v>39058300</v>
      </c>
      <c r="E76" s="569">
        <f t="shared" ref="E76:F76" si="17">SUM(E73:E75)</f>
        <v>20433670</v>
      </c>
      <c r="F76" s="569">
        <f t="shared" si="17"/>
        <v>33811170</v>
      </c>
      <c r="G76" s="605">
        <f t="shared" si="11"/>
        <v>-5247130</v>
      </c>
      <c r="H76" s="540">
        <f t="shared" si="12"/>
        <v>-0.13434097234134615</v>
      </c>
      <c r="I76" s="41"/>
    </row>
    <row r="77" spans="1:9" x14ac:dyDescent="0.3">
      <c r="A77" s="1302" t="s">
        <v>197</v>
      </c>
      <c r="B77" s="1305" t="s">
        <v>131</v>
      </c>
      <c r="C77" s="585" t="s">
        <v>132</v>
      </c>
      <c r="D77" s="70"/>
      <c r="E77" s="70"/>
      <c r="F77" s="70"/>
      <c r="G77" s="71"/>
      <c r="H77" s="453"/>
      <c r="I77" s="79"/>
    </row>
    <row r="78" spans="1:9" x14ac:dyDescent="0.3">
      <c r="A78" s="1303"/>
      <c r="B78" s="1306"/>
      <c r="C78" s="622" t="s">
        <v>133</v>
      </c>
      <c r="D78" s="221"/>
      <c r="E78" s="221"/>
      <c r="F78" s="221"/>
      <c r="G78" s="66"/>
      <c r="H78" s="130"/>
      <c r="I78" s="240"/>
    </row>
    <row r="79" spans="1:9" x14ac:dyDescent="0.3">
      <c r="A79" s="1303"/>
      <c r="B79" s="1306"/>
      <c r="C79" s="622" t="s">
        <v>194</v>
      </c>
      <c r="D79" s="221"/>
      <c r="E79" s="221"/>
      <c r="F79" s="221"/>
      <c r="G79" s="66"/>
      <c r="H79" s="130"/>
      <c r="I79" s="240"/>
    </row>
    <row r="80" spans="1:9" x14ac:dyDescent="0.3">
      <c r="A80" s="1303"/>
      <c r="B80" s="1306"/>
      <c r="C80" s="230" t="s">
        <v>134</v>
      </c>
      <c r="D80" s="44"/>
      <c r="E80" s="44"/>
      <c r="F80" s="44"/>
      <c r="G80" s="66"/>
      <c r="H80" s="130"/>
      <c r="I80" s="83"/>
    </row>
    <row r="81" spans="1:9" x14ac:dyDescent="0.3">
      <c r="A81" s="1303"/>
      <c r="B81" s="1306"/>
      <c r="C81" s="230" t="s">
        <v>195</v>
      </c>
      <c r="D81" s="44"/>
      <c r="E81" s="44"/>
      <c r="F81" s="44"/>
      <c r="G81" s="66"/>
      <c r="H81" s="130"/>
      <c r="I81" s="83"/>
    </row>
    <row r="82" spans="1:9" ht="17.25" thickBot="1" x14ac:dyDescent="0.35">
      <c r="A82" s="1303"/>
      <c r="B82" s="1307"/>
      <c r="C82" s="1207" t="s">
        <v>726</v>
      </c>
      <c r="D82" s="73"/>
      <c r="E82" s="73"/>
      <c r="F82" s="73"/>
      <c r="G82" s="73"/>
      <c r="H82" s="233"/>
      <c r="I82" s="81"/>
    </row>
    <row r="83" spans="1:9" ht="18.75" customHeight="1" x14ac:dyDescent="0.3">
      <c r="A83" s="1303"/>
      <c r="B83" s="1308" t="s">
        <v>197</v>
      </c>
      <c r="C83" s="149" t="s">
        <v>164</v>
      </c>
      <c r="D83" s="70">
        <f>'5-1. 강서종합사회복지관'!D82+'5-2.강서종합사회복지관(재가노인지원서비스)'!D82+'5-3.강서구종합사회복지관(강서지역아동센터)'!D82+'5-4.강서구종합사회복지관(청소년지원센터)'!D82+'5-5.강서구종합사회복지관(자원봉사센터)'!D82+'5-6.강서구종합사회복지관(발달재활서비스)'!D82+'5-7.강서구종합사회복지관(심리치유서비스)'!D82</f>
        <v>39100000</v>
      </c>
      <c r="E83" s="70">
        <f>'5-1. 강서종합사회복지관'!E82+'5-2.강서종합사회복지관(재가노인지원서비스)'!E82+'5-3.강서구종합사회복지관(강서지역아동센터)'!E82+'5-4.강서구종합사회복지관(청소년지원센터)'!E82+'5-5.강서구종합사회복지관(자원봉사센터)'!E82+'5-6.강서구종합사회복지관(발달재활서비스)'!E82+'5-7.강서구종합사회복지관(심리치유서비스)'!E82</f>
        <v>18932670</v>
      </c>
      <c r="F83" s="70">
        <f>'5-1. 강서종합사회복지관'!F82+'5-2.강서종합사회복지관(재가노인지원서비스)'!F82+'5-3.강서구종합사회복지관(강서지역아동센터)'!F82+'5-4.강서구종합사회복지관(청소년지원센터)'!F82+'5-5.강서구종합사회복지관(자원봉사센터)'!F82+'5-6.강서구종합사회복지관(발달재활서비스)'!F82+'5-7.강서구종합사회복지관(심리치유서비스)'!F82</f>
        <v>34100000</v>
      </c>
      <c r="G83" s="70">
        <f t="shared" si="11"/>
        <v>-5000000</v>
      </c>
      <c r="H83" s="453">
        <f t="shared" si="12"/>
        <v>-0.12787723785166241</v>
      </c>
      <c r="I83" s="645" t="s">
        <v>687</v>
      </c>
    </row>
    <row r="84" spans="1:9" ht="38.450000000000003" customHeight="1" x14ac:dyDescent="0.3">
      <c r="A84" s="1303"/>
      <c r="B84" s="1309"/>
      <c r="C84" s="624" t="s">
        <v>191</v>
      </c>
      <c r="D84" s="221">
        <f>'5-1. 강서종합사회복지관'!D83+'5-2.강서종합사회복지관(재가노인지원서비스)'!D83+'5-3.강서구종합사회복지관(강서지역아동센터)'!D83+'5-4.강서구종합사회복지관(청소년지원센터)'!D83+'5-5.강서구종합사회복지관(자원봉사센터)'!D83+'5-6.강서구종합사회복지관(발달재활서비스)'!D83+'5-7.강서구종합사회복지관(심리치유서비스)'!D83</f>
        <v>285094235</v>
      </c>
      <c r="E84" s="221">
        <f>'5-1. 강서종합사회복지관'!E83+'5-2.강서종합사회복지관(재가노인지원서비스)'!E83+'5-3.강서구종합사회복지관(강서지역아동센터)'!E83+'5-4.강서구종합사회복지관(청소년지원센터)'!E83+'5-5.강서구종합사회복지관(자원봉사센터)'!E83+'5-6.강서구종합사회복지관(발달재활서비스)'!E83+'5-7.강서구종합사회복지관(심리치유서비스)'!E83</f>
        <v>233977776</v>
      </c>
      <c r="F84" s="221">
        <f>'5-1. 강서종합사회복지관'!F83+'5-2.강서종합사회복지관(재가노인지원서비스)'!F83+'5-3.강서구종합사회복지관(강서지역아동센터)'!F83+'5-4.강서구종합사회복지관(청소년지원센터)'!F83+'5-5.강서구종합사회복지관(자원봉사센터)'!F83+'5-6.강서구종합사회복지관(발달재활서비스)'!F83+'5-7.강서구종합사회복지관(심리치유서비스)'!F83</f>
        <v>266365585</v>
      </c>
      <c r="G84" s="44">
        <f t="shared" si="11"/>
        <v>-18728650</v>
      </c>
      <c r="H84" s="130">
        <f t="shared" si="12"/>
        <v>-6.5692840123547216E-2</v>
      </c>
      <c r="I84" s="551" t="s">
        <v>688</v>
      </c>
    </row>
    <row r="85" spans="1:9" ht="29.25" customHeight="1" x14ac:dyDescent="0.3">
      <c r="A85" s="1303"/>
      <c r="B85" s="1309"/>
      <c r="C85" s="624" t="s">
        <v>192</v>
      </c>
      <c r="D85" s="221">
        <f>'5-1. 강서종합사회복지관'!D84+'5-2.강서종합사회복지관(재가노인지원서비스)'!D84+'5-3.강서구종합사회복지관(강서지역아동센터)'!D84+'5-4.강서구종합사회복지관(청소년지원센터)'!D84+'5-5.강서구종합사회복지관(자원봉사센터)'!D84+'5-6.강서구종합사회복지관(발달재활서비스)'!D84+'5-7.강서구종합사회복지관(심리치유서비스)'!D84</f>
        <v>198409790</v>
      </c>
      <c r="E85" s="221">
        <f>'5-1. 강서종합사회복지관'!E84+'5-2.강서종합사회복지관(재가노인지원서비스)'!E84+'5-3.강서구종합사회복지관(강서지역아동센터)'!E84+'5-4.강서구종합사회복지관(청소년지원센터)'!E84+'5-5.강서구종합사회복지관(자원봉사센터)'!E84+'5-6.강서구종합사회복지관(발달재활서비스)'!E84+'5-7.강서구종합사회복지관(심리치유서비스)'!E84</f>
        <v>111894850</v>
      </c>
      <c r="F85" s="221">
        <f>'5-1. 강서종합사회복지관'!F84+'5-2.강서종합사회복지관(재가노인지원서비스)'!F84+'5-3.강서구종합사회복지관(강서지역아동센터)'!F84+'5-4.강서구종합사회복지관(청소년지원센터)'!F84+'5-5.강서구종합사회복지관(자원봉사센터)'!F84+'5-6.강서구종합사회복지관(발달재활서비스)'!F84+'5-7.강서구종합사회복지관(심리치유서비스)'!F84</f>
        <v>128949890</v>
      </c>
      <c r="G85" s="44">
        <f t="shared" si="11"/>
        <v>-69459900</v>
      </c>
      <c r="H85" s="130">
        <f t="shared" si="12"/>
        <v>-0.35008302765705263</v>
      </c>
      <c r="I85" s="931" t="s">
        <v>689</v>
      </c>
    </row>
    <row r="86" spans="1:9" ht="18.75" customHeight="1" x14ac:dyDescent="0.3">
      <c r="A86" s="1303"/>
      <c r="B86" s="1309"/>
      <c r="C86" s="624" t="s">
        <v>140</v>
      </c>
      <c r="D86" s="221"/>
      <c r="E86" s="221"/>
      <c r="F86" s="221"/>
      <c r="G86" s="44"/>
      <c r="H86" s="130"/>
      <c r="I86" s="83"/>
    </row>
    <row r="87" spans="1:9" ht="28.5" customHeight="1" x14ac:dyDescent="0.3">
      <c r="A87" s="1303"/>
      <c r="B87" s="1309"/>
      <c r="C87" s="624" t="s">
        <v>137</v>
      </c>
      <c r="D87" s="221">
        <f>'5-1. 강서종합사회복지관'!D86+'5-2.강서종합사회복지관(재가노인지원서비스)'!D86+'5-3.강서구종합사회복지관(강서지역아동센터)'!D86+'5-4.강서구종합사회복지관(청소년지원센터)'!D86+'5-5.강서구종합사회복지관(자원봉사센터)'!D86+'5-6.강서구종합사회복지관(발달재활서비스)'!D86+'5-7.강서구종합사회복지관(심리치유서비스)'!D86</f>
        <v>14249700</v>
      </c>
      <c r="E87" s="221">
        <f>'5-1. 강서종합사회복지관'!E86+'5-2.강서종합사회복지관(재가노인지원서비스)'!E86+'5-3.강서구종합사회복지관(강서지역아동센터)'!E86+'5-4.강서구종합사회복지관(청소년지원센터)'!E86+'5-5.강서구종합사회복지관(자원봉사센터)'!E86+'5-6.강서구종합사회복지관(발달재활서비스)'!E86+'5-7.강서구종합사회복지관(심리치유서비스)'!E86</f>
        <v>9818220</v>
      </c>
      <c r="F87" s="221">
        <f>'5-1. 강서종합사회복지관'!F86+'5-2.강서종합사회복지관(재가노인지원서비스)'!F86+'5-3.강서구종합사회복지관(강서지역아동센터)'!F86+'5-4.강서구종합사회복지관(청소년지원센터)'!F86+'5-5.강서구종합사회복지관(자원봉사센터)'!F86+'5-6.강서구종합사회복지관(발달재활서비스)'!F86+'5-7.강서구종합사회복지관(심리치유서비스)'!F86</f>
        <v>9992700</v>
      </c>
      <c r="G87" s="44">
        <f t="shared" si="11"/>
        <v>-4257000</v>
      </c>
      <c r="H87" s="130">
        <f t="shared" si="12"/>
        <v>-0.298743131434346</v>
      </c>
      <c r="I87" s="931" t="s">
        <v>690</v>
      </c>
    </row>
    <row r="88" spans="1:9" ht="31.5" customHeight="1" x14ac:dyDescent="0.3">
      <c r="A88" s="1303"/>
      <c r="B88" s="1309"/>
      <c r="C88" s="624" t="s">
        <v>141</v>
      </c>
      <c r="D88" s="221">
        <f>'5-1. 강서종합사회복지관'!D87+'5-2.강서종합사회복지관(재가노인지원서비스)'!D87+'5-3.강서구종합사회복지관(강서지역아동센터)'!D87+'5-4.강서구종합사회복지관(청소년지원센터)'!D87+'5-5.강서구종합사회복지관(자원봉사센터)'!D87+'5-6.강서구종합사회복지관(발달재활서비스)'!D87+'5-7.강서구종합사회복지관(심리치유서비스)'!D87</f>
        <v>114429700</v>
      </c>
      <c r="E88" s="221">
        <f>'5-1. 강서종합사회복지관'!E87+'5-2.강서종합사회복지관(재가노인지원서비스)'!E87+'5-3.강서구종합사회복지관(강서지역아동센터)'!E87+'5-4.강서구종합사회복지관(청소년지원센터)'!E87+'5-5.강서구종합사회복지관(자원봉사센터)'!E87+'5-6.강서구종합사회복지관(발달재활서비스)'!E87+'5-7.강서구종합사회복지관(심리치유서비스)'!E87</f>
        <v>99519719</v>
      </c>
      <c r="F88" s="221">
        <f>'5-1. 강서종합사회복지관'!F87+'5-2.강서종합사회복지관(재가노인지원서비스)'!F87+'5-3.강서구종합사회복지관(강서지역아동센터)'!F87+'5-4.강서구종합사회복지관(청소년지원센터)'!F87+'5-5.강서구종합사회복지관(자원봉사센터)'!F87+'5-6.강서구종합사회복지관(발달재활서비스)'!F87+'5-7.강서구종합사회복지관(심리치유서비스)'!F87</f>
        <v>108392700</v>
      </c>
      <c r="G88" s="44">
        <f t="shared" si="11"/>
        <v>-6037000</v>
      </c>
      <c r="H88" s="130">
        <f t="shared" si="12"/>
        <v>-5.2757282418812598E-2</v>
      </c>
      <c r="I88" s="931" t="s">
        <v>691</v>
      </c>
    </row>
    <row r="89" spans="1:9" ht="42.6" customHeight="1" x14ac:dyDescent="0.3">
      <c r="A89" s="1303"/>
      <c r="B89" s="1309"/>
      <c r="C89" s="624" t="s">
        <v>138</v>
      </c>
      <c r="D89" s="221">
        <f>'5-1. 강서종합사회복지관'!D88+'5-2.강서종합사회복지관(재가노인지원서비스)'!D88+'5-3.강서구종합사회복지관(강서지역아동센터)'!D88+'5-4.강서구종합사회복지관(청소년지원센터)'!D88+'5-5.강서구종합사회복지관(자원봉사센터)'!D88+'5-6.강서구종합사회복지관(발달재활서비스)'!D88+'5-7.강서구종합사회복지관(심리치유서비스)'!D88</f>
        <v>20882740</v>
      </c>
      <c r="E89" s="221">
        <f>'5-1. 강서종합사회복지관'!E88+'5-2.강서종합사회복지관(재가노인지원서비스)'!E88+'5-3.강서구종합사회복지관(강서지역아동센터)'!E88+'5-4.강서구종합사회복지관(청소년지원센터)'!E88+'5-5.강서구종합사회복지관(자원봉사센터)'!E88+'5-6.강서구종합사회복지관(발달재활서비스)'!E88+'5-7.강서구종합사회복지관(심리치유서비스)'!E88</f>
        <v>14000610</v>
      </c>
      <c r="F89" s="221">
        <f>'5-1. 강서종합사회복지관'!F88+'5-2.강서종합사회복지관(재가노인지원서비스)'!F88+'5-3.강서구종합사회복지관(강서지역아동센터)'!F88+'5-4.강서구종합사회복지관(청소년지원센터)'!F88+'5-5.강서구종합사회복지관(자원봉사센터)'!F88+'5-6.강서구종합사회복지관(발달재활서비스)'!F88+'5-7.강서구종합사회복지관(심리치유서비스)'!F88</f>
        <v>20566890</v>
      </c>
      <c r="G89" s="44">
        <f t="shared" si="11"/>
        <v>-315850</v>
      </c>
      <c r="H89" s="130">
        <f t="shared" si="12"/>
        <v>-1.5124930923815554E-2</v>
      </c>
      <c r="I89" s="931" t="s">
        <v>692</v>
      </c>
    </row>
    <row r="90" spans="1:9" ht="18.75" customHeight="1" x14ac:dyDescent="0.3">
      <c r="A90" s="1303"/>
      <c r="B90" s="1309"/>
      <c r="C90" s="624" t="s">
        <v>139</v>
      </c>
      <c r="D90" s="221">
        <f>'5-1. 강서종합사회복지관'!D89+'5-2.강서종합사회복지관(재가노인지원서비스)'!D89+'5-3.강서구종합사회복지관(강서지역아동센터)'!D89+'5-4.강서구종합사회복지관(청소년지원센터)'!D89+'5-5.강서구종합사회복지관(자원봉사센터)'!D89+'5-6.강서구종합사회복지관(발달재활서비스)'!D89+'5-7.강서구종합사회복지관(심리치유서비스)'!D89</f>
        <v>2710000</v>
      </c>
      <c r="E90" s="221">
        <f>'5-1. 강서종합사회복지관'!E89+'5-2.강서종합사회복지관(재가노인지원서비스)'!E89+'5-3.강서구종합사회복지관(강서지역아동센터)'!E89+'5-4.강서구종합사회복지관(청소년지원센터)'!E89+'5-5.강서구종합사회복지관(자원봉사센터)'!E89+'5-6.강서구종합사회복지관(발달재활서비스)'!E89+'5-7.강서구종합사회복지관(심리치유서비스)'!E89</f>
        <v>1973030</v>
      </c>
      <c r="F90" s="221">
        <f>'5-1. 강서종합사회복지관'!F89+'5-2.강서종합사회복지관(재가노인지원서비스)'!F89+'5-3.강서구종합사회복지관(강서지역아동센터)'!F89+'5-4.강서구종합사회복지관(청소년지원센터)'!F89+'5-5.강서구종합사회복지관(자원봉사센터)'!F89+'5-6.강서구종합사회복지관(발달재활서비스)'!F89+'5-7.강서구종합사회복지관(심리치유서비스)'!F89</f>
        <v>1985000</v>
      </c>
      <c r="G90" s="44">
        <f t="shared" si="11"/>
        <v>-725000</v>
      </c>
      <c r="H90" s="130">
        <f t="shared" si="12"/>
        <v>-0.26752767527675275</v>
      </c>
      <c r="I90" s="83"/>
    </row>
    <row r="91" spans="1:9" ht="18.75" customHeight="1" x14ac:dyDescent="0.3">
      <c r="A91" s="1303"/>
      <c r="B91" s="1309"/>
      <c r="C91" s="624" t="s">
        <v>136</v>
      </c>
      <c r="D91" s="221"/>
      <c r="E91" s="221"/>
      <c r="F91" s="221"/>
      <c r="G91" s="66"/>
      <c r="H91" s="130"/>
      <c r="I91" s="83"/>
    </row>
    <row r="92" spans="1:9" ht="18.75" customHeight="1" x14ac:dyDescent="0.3">
      <c r="A92" s="1303"/>
      <c r="B92" s="1309"/>
      <c r="C92" s="624" t="s">
        <v>135</v>
      </c>
      <c r="D92" s="221"/>
      <c r="E92" s="221"/>
      <c r="F92" s="221"/>
      <c r="G92" s="66"/>
      <c r="H92" s="130"/>
      <c r="I92" s="83"/>
    </row>
    <row r="93" spans="1:9" ht="18.75" customHeight="1" x14ac:dyDescent="0.3">
      <c r="A93" s="1303"/>
      <c r="B93" s="1309"/>
      <c r="C93" s="624" t="s">
        <v>193</v>
      </c>
      <c r="D93" s="221"/>
      <c r="E93" s="221"/>
      <c r="F93" s="221"/>
      <c r="G93" s="66"/>
      <c r="H93" s="130"/>
      <c r="I93" s="83"/>
    </row>
    <row r="94" spans="1:9" ht="18.75" customHeight="1" x14ac:dyDescent="0.3">
      <c r="A94" s="1303"/>
      <c r="B94" s="1309"/>
      <c r="C94" s="624" t="s">
        <v>239</v>
      </c>
      <c r="D94" s="221"/>
      <c r="E94" s="221"/>
      <c r="F94" s="221"/>
      <c r="G94" s="66"/>
      <c r="H94" s="130"/>
      <c r="I94" s="83"/>
    </row>
    <row r="95" spans="1:9" ht="18.75" customHeight="1" x14ac:dyDescent="0.3">
      <c r="A95" s="1303"/>
      <c r="B95" s="1309"/>
      <c r="C95" s="624" t="s">
        <v>240</v>
      </c>
      <c r="D95" s="221"/>
      <c r="E95" s="221"/>
      <c r="F95" s="221"/>
      <c r="G95" s="66"/>
      <c r="H95" s="130"/>
      <c r="I95" s="83"/>
    </row>
    <row r="96" spans="1:9" ht="33" customHeight="1" x14ac:dyDescent="0.3">
      <c r="A96" s="1303"/>
      <c r="B96" s="1309"/>
      <c r="C96" s="624" t="s">
        <v>241</v>
      </c>
      <c r="D96" s="221">
        <f>'5-1. 강서종합사회복지관'!D95+'5-2.강서종합사회복지관(재가노인지원서비스)'!D95+'5-3.강서구종합사회복지관(강서지역아동센터)'!D95+'5-4.강서구종합사회복지관(청소년지원센터)'!D95+'5-5.강서구종합사회복지관(자원봉사센터)'!D95+'5-6.강서구종합사회복지관(발달재활서비스)'!D95+'5-7.강서구종합사회복지관(심리치유서비스)'!D95</f>
        <v>96376000</v>
      </c>
      <c r="E96" s="221">
        <f>'5-1. 강서종합사회복지관'!E95+'5-2.강서종합사회복지관(재가노인지원서비스)'!E95+'5-3.강서구종합사회복지관(강서지역아동센터)'!E95+'5-4.강서구종합사회복지관(청소년지원센터)'!E95+'5-5.강서구종합사회복지관(자원봉사센터)'!E95+'5-6.강서구종합사회복지관(발달재활서비스)'!E95+'5-7.강서구종합사회복지관(심리치유서비스)'!E95</f>
        <v>74091790</v>
      </c>
      <c r="F96" s="221">
        <f>'5-1. 강서종합사회복지관'!F95+'5-2.강서종합사회복지관(재가노인지원서비스)'!F95+'5-3.강서구종합사회복지관(강서지역아동센터)'!F95+'5-4.강서구종합사회복지관(청소년지원센터)'!F95+'5-5.강서구종합사회복지관(자원봉사센터)'!F95+'5-6.강서구종합사회복지관(발달재활서비스)'!F95+'5-7.강서구종합사회복지관(심리치유서비스)'!F95</f>
        <v>91376000</v>
      </c>
      <c r="G96" s="44">
        <f t="shared" si="11"/>
        <v>-5000000</v>
      </c>
      <c r="H96" s="130">
        <f t="shared" si="12"/>
        <v>-5.1880136133477216E-2</v>
      </c>
      <c r="I96" s="931" t="s">
        <v>684</v>
      </c>
    </row>
    <row r="97" spans="1:9" ht="18.75" customHeight="1" x14ac:dyDescent="0.3">
      <c r="A97" s="1303"/>
      <c r="B97" s="1309"/>
      <c r="C97" s="624" t="s">
        <v>242</v>
      </c>
      <c r="D97" s="221"/>
      <c r="E97" s="221"/>
      <c r="F97" s="221"/>
      <c r="G97" s="66"/>
      <c r="H97" s="130"/>
      <c r="I97" s="83"/>
    </row>
    <row r="98" spans="1:9" ht="18.75" customHeight="1" x14ac:dyDescent="0.3">
      <c r="A98" s="1303"/>
      <c r="B98" s="1309"/>
      <c r="C98" s="624" t="s">
        <v>243</v>
      </c>
      <c r="D98" s="221"/>
      <c r="E98" s="221"/>
      <c r="F98" s="221"/>
      <c r="G98" s="66"/>
      <c r="H98" s="130"/>
      <c r="I98" s="83"/>
    </row>
    <row r="99" spans="1:9" ht="16.5" customHeight="1" x14ac:dyDescent="0.3">
      <c r="A99" s="1303"/>
      <c r="B99" s="1309"/>
      <c r="C99" s="624" t="s">
        <v>244</v>
      </c>
      <c r="D99" s="221"/>
      <c r="E99" s="221"/>
      <c r="F99" s="221"/>
      <c r="G99" s="66"/>
      <c r="H99" s="130"/>
      <c r="I99" s="83"/>
    </row>
    <row r="100" spans="1:9" ht="16.5" customHeight="1" x14ac:dyDescent="0.3">
      <c r="A100" s="1303"/>
      <c r="B100" s="1309"/>
      <c r="C100" s="624" t="s">
        <v>245</v>
      </c>
      <c r="D100" s="221"/>
      <c r="E100" s="221"/>
      <c r="F100" s="221"/>
      <c r="G100" s="66"/>
      <c r="H100" s="130"/>
      <c r="I100" s="83"/>
    </row>
    <row r="101" spans="1:9" ht="16.5" customHeight="1" x14ac:dyDescent="0.3">
      <c r="A101" s="1303"/>
      <c r="B101" s="1309"/>
      <c r="C101" s="624" t="s">
        <v>232</v>
      </c>
      <c r="D101" s="221"/>
      <c r="E101" s="221"/>
      <c r="F101" s="221"/>
      <c r="G101" s="66"/>
      <c r="H101" s="130"/>
      <c r="I101" s="83"/>
    </row>
    <row r="102" spans="1:9" ht="16.5" customHeight="1" x14ac:dyDescent="0.3">
      <c r="A102" s="1303"/>
      <c r="B102" s="1309"/>
      <c r="C102" s="624" t="s">
        <v>233</v>
      </c>
      <c r="D102" s="221"/>
      <c r="E102" s="221"/>
      <c r="F102" s="221"/>
      <c r="G102" s="66"/>
      <c r="H102" s="130"/>
      <c r="I102" s="83"/>
    </row>
    <row r="103" spans="1:9" ht="16.5" customHeight="1" x14ac:dyDescent="0.3">
      <c r="A103" s="1303"/>
      <c r="B103" s="1309"/>
      <c r="C103" s="624" t="s">
        <v>234</v>
      </c>
      <c r="D103" s="221"/>
      <c r="E103" s="221"/>
      <c r="F103" s="221"/>
      <c r="G103" s="66"/>
      <c r="H103" s="130"/>
      <c r="I103" s="83"/>
    </row>
    <row r="104" spans="1:9" ht="16.5" customHeight="1" x14ac:dyDescent="0.3">
      <c r="A104" s="1303"/>
      <c r="B104" s="1309"/>
      <c r="C104" s="624" t="s">
        <v>235</v>
      </c>
      <c r="D104" s="221"/>
      <c r="E104" s="221"/>
      <c r="F104" s="221"/>
      <c r="G104" s="66"/>
      <c r="H104" s="130"/>
      <c r="I104" s="83"/>
    </row>
    <row r="105" spans="1:9" ht="19.5" customHeight="1" thickBot="1" x14ac:dyDescent="0.35">
      <c r="A105" s="1303"/>
      <c r="B105" s="1310"/>
      <c r="C105" s="1207" t="s">
        <v>726</v>
      </c>
      <c r="D105" s="519">
        <f>SUM(D83:D104)</f>
        <v>771252165</v>
      </c>
      <c r="E105" s="519">
        <f>SUM(E83:E104)</f>
        <v>564208665</v>
      </c>
      <c r="F105" s="519">
        <f>SUM(F83:F104)</f>
        <v>661728765</v>
      </c>
      <c r="G105" s="743">
        <f t="shared" si="11"/>
        <v>-109523400</v>
      </c>
      <c r="H105" s="540">
        <f t="shared" si="12"/>
        <v>-0.14200725128596559</v>
      </c>
      <c r="I105" s="81"/>
    </row>
    <row r="106" spans="1:9" ht="24" customHeight="1" thickBot="1" x14ac:dyDescent="0.35">
      <c r="A106" s="1304"/>
      <c r="B106" s="1470" t="s">
        <v>668</v>
      </c>
      <c r="C106" s="1470"/>
      <c r="D106" s="575">
        <f>SUM(D82,D105)</f>
        <v>771252165</v>
      </c>
      <c r="E106" s="575">
        <f>SUM(E82,E105)</f>
        <v>564208665</v>
      </c>
      <c r="F106" s="575">
        <f>SUM(F82,F105)</f>
        <v>661728765</v>
      </c>
      <c r="G106" s="912">
        <f t="shared" si="11"/>
        <v>-109523400</v>
      </c>
      <c r="H106" s="554">
        <f t="shared" si="12"/>
        <v>-0.14200725128596559</v>
      </c>
      <c r="I106" s="574"/>
    </row>
    <row r="107" spans="1:9" x14ac:dyDescent="0.3">
      <c r="A107" s="1303" t="s">
        <v>268</v>
      </c>
      <c r="B107" s="1106" t="s">
        <v>5</v>
      </c>
      <c r="C107" s="1136" t="s">
        <v>8</v>
      </c>
      <c r="D107" s="216">
        <f>'5-1. 강서종합사회복지관'!D106+'5-2.강서종합사회복지관(재가노인지원서비스)'!D106+'5-3.강서구종합사회복지관(강서지역아동센터)'!D106+'5-4.강서구종합사회복지관(청소년지원센터)'!D106+'5-5.강서구종합사회복지관(자원봉사센터)'!D106+'5-6.강서구종합사회복지관(발달재활서비스)'!D106+'5-7.강서구종합사회복지관(심리치유서비스)'!D106</f>
        <v>1000000</v>
      </c>
      <c r="E107" s="216">
        <f>'5-1. 강서종합사회복지관'!E106+'5-2.강서종합사회복지관(재가노인지원서비스)'!E106+'5-3.강서구종합사회복지관(강서지역아동센터)'!E106+'5-4.강서구종합사회복지관(청소년지원센터)'!E106+'5-5.강서구종합사회복지관(자원봉사센터)'!E106+'5-6.강서구종합사회복지관(발달재활서비스)'!E106+'5-7.강서구종합사회복지관(심리치유서비스)'!E106</f>
        <v>0</v>
      </c>
      <c r="F107" s="216">
        <f>'5-1. 강서종합사회복지관'!F106+'5-2.강서종합사회복지관(재가노인지원서비스)'!F106+'5-3.강서구종합사회복지관(강서지역아동센터)'!F106+'5-4.강서구종합사회복지관(청소년지원센터)'!F106+'5-5.강서구종합사회복지관(자원봉사센터)'!F106+'5-6.강서구종합사회복지관(발달재활서비스)'!F106+'5-7.강서구종합사회복지관(심리치유서비스)'!F106</f>
        <v>1000000</v>
      </c>
      <c r="G107" s="36">
        <f t="shared" si="11"/>
        <v>0</v>
      </c>
      <c r="H107" s="130">
        <f t="shared" si="12"/>
        <v>0</v>
      </c>
      <c r="I107" s="37"/>
    </row>
    <row r="108" spans="1:9" ht="17.25" thickBot="1" x14ac:dyDescent="0.35">
      <c r="A108" s="1304"/>
      <c r="B108" s="1311" t="s">
        <v>668</v>
      </c>
      <c r="C108" s="1311"/>
      <c r="D108" s="888">
        <f>D107</f>
        <v>1000000</v>
      </c>
      <c r="E108" s="888">
        <f t="shared" ref="E108:F108" si="18">E107</f>
        <v>0</v>
      </c>
      <c r="F108" s="933">
        <f t="shared" si="18"/>
        <v>1000000</v>
      </c>
      <c r="G108" s="520">
        <f t="shared" si="11"/>
        <v>0</v>
      </c>
      <c r="H108" s="540">
        <f t="shared" si="12"/>
        <v>0</v>
      </c>
      <c r="I108" s="42"/>
    </row>
    <row r="109" spans="1:9" x14ac:dyDescent="0.3">
      <c r="A109" s="1471" t="s">
        <v>271</v>
      </c>
      <c r="B109" s="1323" t="s">
        <v>271</v>
      </c>
      <c r="C109" s="1106" t="s">
        <v>65</v>
      </c>
      <c r="D109" s="885">
        <f>'5-1. 강서종합사회복지관'!D108+'5-2.강서종합사회복지관(재가노인지원서비스)'!D108+'5-3.강서구종합사회복지관(강서지역아동센터)'!D108+'5-4.강서구종합사회복지관(청소년지원센터)'!D108+'5-5.강서구종합사회복지관(자원봉사센터)'!D108+'5-6.강서구종합사회복지관(발달재활서비스)'!D108+'5-7.강서구종합사회복지관(심리치유서비스)'!D108</f>
        <v>230743924</v>
      </c>
      <c r="E109" s="885">
        <f>'5-1. 강서종합사회복지관'!E108+'5-2.강서종합사회복지관(재가노인지원서비스)'!E108+'5-3.강서구종합사회복지관(강서지역아동센터)'!E108+'5-4.강서구종합사회복지관(청소년지원센터)'!E108+'5-5.강서구종합사회복지관(자원봉사센터)'!E108+'5-6.강서구종합사회복지관(발달재활서비스)'!E108+'5-7.강서구종합사회복지관(심리치유서비스)'!E108</f>
        <v>0</v>
      </c>
      <c r="F109" s="932">
        <f>'5-1. 강서종합사회복지관'!F108+'5-2.강서종합사회복지관(재가노인지원서비스)'!F108+'5-3.강서구종합사회복지관(강서지역아동센터)'!F108+'5-4.강서구종합사회복지관(청소년지원센터)'!F108+'5-5.강서구종합사회복지관(자원봉사센터)'!F108+'5-6.강서구종합사회복지관(발달재활서비스)'!F108+'5-7.강서구종합사회복지관(심리치유서비스)'!F108</f>
        <v>282996230</v>
      </c>
      <c r="G109" s="155">
        <f t="shared" si="11"/>
        <v>52252306</v>
      </c>
      <c r="H109" s="453">
        <f t="shared" si="12"/>
        <v>0.22645149260788336</v>
      </c>
      <c r="I109" s="699"/>
    </row>
    <row r="110" spans="1:9" ht="66" x14ac:dyDescent="0.3">
      <c r="A110" s="1286"/>
      <c r="B110" s="1289"/>
      <c r="C110" s="1108" t="s">
        <v>38</v>
      </c>
      <c r="D110" s="884">
        <f>'5-1. 강서종합사회복지관'!D109+'5-2.강서종합사회복지관(재가노인지원서비스)'!D109+'5-3.강서구종합사회복지관(강서지역아동센터)'!D109+'5-4.강서구종합사회복지관(청소년지원센터)'!D109+'5-5.강서구종합사회복지관(자원봉사센터)'!D109+'5-6.강서구종합사회복지관(발달재활서비스)'!D109+'5-7.강서구종합사회복지관(심리치유서비스)'!D109</f>
        <v>7605869</v>
      </c>
      <c r="E110" s="884">
        <f>'5-1. 강서종합사회복지관'!E109+'5-2.강서종합사회복지관(재가노인지원서비스)'!E109+'5-3.강서구종합사회복지관(강서지역아동센터)'!E109+'5-4.강서구종합사회복지관(청소년지원센터)'!E109+'5-5.강서구종합사회복지관(자원봉사센터)'!E109+'5-6.강서구종합사회복지관(발달재활서비스)'!E109+'5-7.강서구종합사회복지관(심리치유서비스)'!E109</f>
        <v>5541181</v>
      </c>
      <c r="F110" s="884">
        <f>'5-1. 강서종합사회복지관'!F109+'5-2.강서종합사회복지관(재가노인지원서비스)'!F109+'5-3.강서구종합사회복지관(강서지역아동센터)'!F109+'5-4.강서구종합사회복지관(청소년지원센터)'!F109+'5-5.강서구종합사회복지관(자원봉사센터)'!F109+'5-6.강서구종합사회복지관(발달재활서비스)'!F109+'5-7.강서구종합사회복지관(심리치유서비스)'!F109</f>
        <v>13838673</v>
      </c>
      <c r="G110" s="65">
        <f t="shared" si="11"/>
        <v>6232804</v>
      </c>
      <c r="H110" s="130">
        <f t="shared" si="12"/>
        <v>0.81947296226111699</v>
      </c>
      <c r="I110" s="533" t="s">
        <v>693</v>
      </c>
    </row>
    <row r="111" spans="1:9" ht="17.25" thickBot="1" x14ac:dyDescent="0.35">
      <c r="A111" s="1461"/>
      <c r="B111" s="1311" t="s">
        <v>668</v>
      </c>
      <c r="C111" s="1311"/>
      <c r="D111" s="889">
        <f>SUM(D109:D110)</f>
        <v>238349793</v>
      </c>
      <c r="E111" s="889">
        <f t="shared" ref="E111:F111" si="19">SUM(E109:E110)</f>
        <v>5541181</v>
      </c>
      <c r="F111" s="889">
        <f t="shared" si="19"/>
        <v>296834903</v>
      </c>
      <c r="G111" s="601">
        <f t="shared" si="11"/>
        <v>58485110</v>
      </c>
      <c r="H111" s="572">
        <f t="shared" si="12"/>
        <v>0.24537512394650998</v>
      </c>
      <c r="I111" s="42"/>
    </row>
    <row r="112" spans="1:9" ht="20.25" customHeight="1" x14ac:dyDescent="0.3">
      <c r="A112" s="1316" t="s">
        <v>176</v>
      </c>
      <c r="B112" s="1319" t="s">
        <v>362</v>
      </c>
      <c r="C112" s="149" t="s">
        <v>178</v>
      </c>
      <c r="D112" s="680"/>
      <c r="E112" s="680"/>
      <c r="F112" s="691"/>
      <c r="G112" s="155">
        <f t="shared" si="11"/>
        <v>0</v>
      </c>
      <c r="H112" s="453" t="e">
        <f t="shared" si="12"/>
        <v>#DIV/0!</v>
      </c>
      <c r="I112" s="692"/>
    </row>
    <row r="113" spans="1:9" x14ac:dyDescent="0.3">
      <c r="A113" s="1317"/>
      <c r="B113" s="1320"/>
      <c r="C113" s="943" t="s">
        <v>363</v>
      </c>
      <c r="D113" s="677"/>
      <c r="E113" s="677"/>
      <c r="F113" s="677"/>
      <c r="G113" s="36">
        <f t="shared" si="11"/>
        <v>0</v>
      </c>
      <c r="H113" s="130" t="e">
        <f t="shared" si="12"/>
        <v>#DIV/0!</v>
      </c>
      <c r="I113" s="693"/>
    </row>
    <row r="114" spans="1:9" ht="17.25" thickBot="1" x14ac:dyDescent="0.35">
      <c r="A114" s="1318"/>
      <c r="B114" s="1311" t="s">
        <v>668</v>
      </c>
      <c r="C114" s="1311"/>
      <c r="D114" s="576">
        <f>SUM(D112:D113)</f>
        <v>0</v>
      </c>
      <c r="E114" s="576">
        <f t="shared" ref="E114:F114" si="20">SUM(E112:E113)</f>
        <v>0</v>
      </c>
      <c r="F114" s="576">
        <f t="shared" si="20"/>
        <v>0</v>
      </c>
      <c r="G114" s="40">
        <f t="shared" si="11"/>
        <v>0</v>
      </c>
      <c r="H114" s="233" t="e">
        <f t="shared" si="12"/>
        <v>#DIV/0!</v>
      </c>
      <c r="I114" s="42"/>
    </row>
    <row r="115" spans="1:9" x14ac:dyDescent="0.3">
      <c r="A115" s="1316" t="s">
        <v>364</v>
      </c>
      <c r="B115" s="1319" t="s">
        <v>362</v>
      </c>
      <c r="C115" s="149" t="s">
        <v>366</v>
      </c>
      <c r="D115" s="680"/>
      <c r="E115" s="680">
        <f>'[2]9-1.은학의집(재가복지)'!E115+'[2]9-2은학의집(요양시설)'!E115</f>
        <v>0</v>
      </c>
      <c r="F115" s="680"/>
      <c r="G115" s="155">
        <f t="shared" si="11"/>
        <v>0</v>
      </c>
      <c r="H115" s="453" t="e">
        <f t="shared" si="12"/>
        <v>#DIV/0!</v>
      </c>
      <c r="I115" s="692"/>
    </row>
    <row r="116" spans="1:9" ht="33" x14ac:dyDescent="0.3">
      <c r="A116" s="1317"/>
      <c r="B116" s="1320"/>
      <c r="C116" s="943" t="s">
        <v>368</v>
      </c>
      <c r="D116" s="677"/>
      <c r="E116" s="677">
        <f>'[2]9-1.은학의집(재가복지)'!E116+'[2]9-2은학의집(요양시설)'!E116</f>
        <v>0</v>
      </c>
      <c r="F116" s="677"/>
      <c r="G116" s="36">
        <f t="shared" si="11"/>
        <v>0</v>
      </c>
      <c r="H116" s="130" t="e">
        <f t="shared" si="12"/>
        <v>#DIV/0!</v>
      </c>
      <c r="I116" s="693"/>
    </row>
    <row r="117" spans="1:9" ht="17.25" thickBot="1" x14ac:dyDescent="0.35">
      <c r="A117" s="1318"/>
      <c r="B117" s="1311" t="s">
        <v>668</v>
      </c>
      <c r="C117" s="1311"/>
      <c r="D117" s="576">
        <f>SUM(D115:D116)</f>
        <v>0</v>
      </c>
      <c r="E117" s="576">
        <f t="shared" ref="E117:F117" si="21">SUM(E115:E116)</f>
        <v>0</v>
      </c>
      <c r="F117" s="576">
        <f t="shared" si="21"/>
        <v>0</v>
      </c>
      <c r="G117" s="40">
        <f t="shared" si="11"/>
        <v>0</v>
      </c>
      <c r="H117" s="233" t="e">
        <f t="shared" si="12"/>
        <v>#DIV/0!</v>
      </c>
      <c r="I117" s="42"/>
    </row>
    <row r="118" spans="1:9" ht="17.25" thickBot="1" x14ac:dyDescent="0.35">
      <c r="A118" s="673" t="s">
        <v>43</v>
      </c>
      <c r="B118" s="674" t="s">
        <v>370</v>
      </c>
      <c r="C118" s="675" t="s">
        <v>371</v>
      </c>
      <c r="D118" s="1141">
        <f>'5-1. 강서종합사회복지관'!D111+'5-2.강서종합사회복지관(재가노인지원서비스)'!D111+'5-3.강서구종합사회복지관(강서지역아동센터)'!D111+'5-4.강서구종합사회복지관(청소년지원센터)'!D111+'5-5.강서구종합사회복지관(자원봉사센터)'!D111+'5-6.강서구종합사회복지관(발달재활서비스)'!D111+'5-7.강서구종합사회복지관(심리치유서비스)'!D111</f>
        <v>0</v>
      </c>
      <c r="E118" s="757"/>
      <c r="F118" s="1141">
        <f>'5-1. 강서종합사회복지관'!F111+'5-2.강서종합사회복지관(재가노인지원서비스)'!F111+'5-3.강서구종합사회복지관(강서지역아동센터)'!F111+'5-4.강서구종합사회복지관(청소년지원센터)'!F111+'5-5.강서구종합사회복지관(자원봉사센터)'!F111+'5-6.강서구종합사회복지관(발달재활서비스)'!F111+'5-7.강서구종합사회복지관(심리치유서비스)'!F111</f>
        <v>0</v>
      </c>
      <c r="G118" s="646">
        <f t="shared" ref="G118:G119" si="22">F118-D118</f>
        <v>0</v>
      </c>
      <c r="H118" s="647" t="e">
        <f t="shared" ref="H118:H119" si="23">G118/D118*100%</f>
        <v>#DIV/0!</v>
      </c>
      <c r="I118" s="648"/>
    </row>
    <row r="119" spans="1:9" ht="17.25" thickBot="1" x14ac:dyDescent="0.35">
      <c r="A119" s="1467" t="s">
        <v>669</v>
      </c>
      <c r="B119" s="1468"/>
      <c r="C119" s="1469"/>
      <c r="D119" s="701">
        <f>SUM(D72,D76,D106,D108,D111,D118,D117,D114)</f>
        <v>2690043000</v>
      </c>
      <c r="E119" s="701">
        <f t="shared" ref="E119:F119" si="24">SUM(E72,E76,E106,E108,E111,E118,E117,E114)</f>
        <v>2042441627</v>
      </c>
      <c r="F119" s="701">
        <f t="shared" si="24"/>
        <v>2600407000</v>
      </c>
      <c r="G119" s="751">
        <f t="shared" si="22"/>
        <v>-89636000</v>
      </c>
      <c r="H119" s="739">
        <f t="shared" si="23"/>
        <v>-3.3321400438580347E-2</v>
      </c>
      <c r="I119" s="702"/>
    </row>
  </sheetData>
  <mergeCells count="71">
    <mergeCell ref="A115:A117"/>
    <mergeCell ref="B115:B116"/>
    <mergeCell ref="B117:C117"/>
    <mergeCell ref="A41:A45"/>
    <mergeCell ref="B41:B44"/>
    <mergeCell ref="B45:C45"/>
    <mergeCell ref="A46:A48"/>
    <mergeCell ref="B46:B47"/>
    <mergeCell ref="B48:C48"/>
    <mergeCell ref="A49:C49"/>
    <mergeCell ref="A50:I50"/>
    <mergeCell ref="B108:C108"/>
    <mergeCell ref="H51:H52"/>
    <mergeCell ref="I51:I52"/>
    <mergeCell ref="G51:G52"/>
    <mergeCell ref="B106:C106"/>
    <mergeCell ref="A119:C119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B33:C33"/>
    <mergeCell ref="A1:I1"/>
    <mergeCell ref="A112:A114"/>
    <mergeCell ref="B112:B113"/>
    <mergeCell ref="B114:C114"/>
    <mergeCell ref="B72:C72"/>
    <mergeCell ref="A73:A76"/>
    <mergeCell ref="B73:B75"/>
    <mergeCell ref="B76:C76"/>
    <mergeCell ref="A109:A111"/>
    <mergeCell ref="B109:B110"/>
    <mergeCell ref="B111:C111"/>
    <mergeCell ref="A77:A106"/>
    <mergeCell ref="B77:B82"/>
    <mergeCell ref="B53:B59"/>
    <mergeCell ref="B60:B63"/>
    <mergeCell ref="B83:B105"/>
    <mergeCell ref="A107:A108"/>
    <mergeCell ref="E51:E52"/>
    <mergeCell ref="F51:F52"/>
    <mergeCell ref="B64:B71"/>
    <mergeCell ref="A51:C51"/>
    <mergeCell ref="D51:D52"/>
    <mergeCell ref="A53:A72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2:I112"/>
  <sheetViews>
    <sheetView topLeftCell="A100" zoomScaleNormal="100" workbookViewId="0">
      <selection activeCell="H44" sqref="H44"/>
    </sheetView>
  </sheetViews>
  <sheetFormatPr defaultRowHeight="16.5" x14ac:dyDescent="0.3"/>
  <cols>
    <col min="1" max="1" width="14.375" customWidth="1"/>
    <col min="2" max="2" width="16" customWidth="1"/>
    <col min="3" max="3" width="25.125" customWidth="1"/>
    <col min="4" max="4" width="18.875" customWidth="1"/>
    <col min="5" max="6" width="19.5" customWidth="1"/>
    <col min="7" max="7" width="23.375" customWidth="1"/>
    <col min="8" max="8" width="13.125" customWidth="1"/>
    <col min="9" max="9" width="40.75" customWidth="1"/>
  </cols>
  <sheetData>
    <row r="2" spans="1:9" ht="34.15" customHeight="1" x14ac:dyDescent="0.3">
      <c r="A2" s="1464" t="s">
        <v>223</v>
      </c>
      <c r="B2" s="1465"/>
      <c r="C2" s="1465"/>
      <c r="D2" s="1465"/>
      <c r="E2" s="1465"/>
      <c r="F2" s="1465"/>
      <c r="G2" s="1465"/>
      <c r="H2" s="1465"/>
      <c r="I2" s="1465"/>
    </row>
    <row r="3" spans="1:9" ht="16.5" customHeight="1" x14ac:dyDescent="0.3">
      <c r="A3" s="1472" t="s">
        <v>409</v>
      </c>
      <c r="B3" s="1472"/>
      <c r="C3" s="1472"/>
      <c r="D3" s="1472"/>
      <c r="E3" s="1472"/>
      <c r="F3" s="1472"/>
      <c r="G3" s="1472"/>
      <c r="H3" s="1472"/>
      <c r="I3" s="1472"/>
    </row>
    <row r="4" spans="1:9" ht="16.5" customHeight="1" x14ac:dyDescent="0.3">
      <c r="A4" s="1472"/>
      <c r="B4" s="1472"/>
      <c r="C4" s="1472"/>
      <c r="D4" s="1472"/>
      <c r="E4" s="1472"/>
      <c r="F4" s="1472"/>
      <c r="G4" s="1472"/>
      <c r="H4" s="1472"/>
      <c r="I4" s="1472"/>
    </row>
    <row r="5" spans="1:9" ht="17.25" thickBot="1" x14ac:dyDescent="0.35">
      <c r="A5" s="1466" t="s">
        <v>222</v>
      </c>
      <c r="B5" s="1466"/>
      <c r="C5" s="1466"/>
      <c r="D5" s="1466"/>
      <c r="E5" s="1466"/>
      <c r="F5" s="1466"/>
      <c r="G5" s="1466"/>
      <c r="H5" s="1466"/>
      <c r="I5" s="1466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395</v>
      </c>
      <c r="F6" s="1273" t="s">
        <v>310</v>
      </c>
      <c r="G6" s="1273" t="s">
        <v>59</v>
      </c>
      <c r="H6" s="127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276"/>
      <c r="I7" s="1278"/>
    </row>
    <row r="8" spans="1:9" ht="25.5" customHeight="1" x14ac:dyDescent="0.3">
      <c r="A8" s="1364" t="s">
        <v>165</v>
      </c>
      <c r="B8" s="1309" t="s">
        <v>166</v>
      </c>
      <c r="C8" s="319" t="s">
        <v>147</v>
      </c>
      <c r="D8" s="236"/>
      <c r="E8" s="236"/>
      <c r="F8" s="236"/>
      <c r="G8" s="243"/>
      <c r="H8" s="499"/>
      <c r="I8" s="293"/>
    </row>
    <row r="9" spans="1:9" ht="25.5" customHeight="1" x14ac:dyDescent="0.3">
      <c r="A9" s="1364"/>
      <c r="B9" s="1309"/>
      <c r="C9" s="320" t="s">
        <v>150</v>
      </c>
      <c r="D9" s="231"/>
      <c r="E9" s="231"/>
      <c r="F9" s="231"/>
      <c r="G9" s="243"/>
      <c r="H9" s="499"/>
      <c r="I9" s="294"/>
    </row>
    <row r="10" spans="1:9" ht="25.5" customHeight="1" x14ac:dyDescent="0.3">
      <c r="A10" s="1364"/>
      <c r="B10" s="1309"/>
      <c r="C10" s="320" t="s">
        <v>151</v>
      </c>
      <c r="D10" s="231"/>
      <c r="E10" s="231"/>
      <c r="F10" s="231"/>
      <c r="G10" s="243"/>
      <c r="H10" s="499"/>
      <c r="I10" s="294"/>
    </row>
    <row r="11" spans="1:9" ht="25.5" customHeight="1" x14ac:dyDescent="0.3">
      <c r="A11" s="1364"/>
      <c r="B11" s="1309"/>
      <c r="C11" s="320" t="s">
        <v>152</v>
      </c>
      <c r="D11" s="231"/>
      <c r="E11" s="231"/>
      <c r="F11" s="231"/>
      <c r="G11" s="243"/>
      <c r="H11" s="499"/>
      <c r="I11" s="294"/>
    </row>
    <row r="12" spans="1:9" ht="21" customHeight="1" x14ac:dyDescent="0.3">
      <c r="A12" s="1364"/>
      <c r="B12" s="1288"/>
      <c r="C12" s="320" t="s">
        <v>153</v>
      </c>
      <c r="D12" s="231"/>
      <c r="E12" s="231"/>
      <c r="F12" s="231"/>
      <c r="G12" s="243"/>
      <c r="H12" s="499"/>
      <c r="I12" s="294"/>
    </row>
    <row r="13" spans="1:9" ht="25.5" customHeight="1" thickBot="1" x14ac:dyDescent="0.35">
      <c r="A13" s="1365"/>
      <c r="B13" s="1374" t="s">
        <v>13</v>
      </c>
      <c r="C13" s="1374"/>
      <c r="D13" s="232"/>
      <c r="E13" s="232"/>
      <c r="F13" s="232"/>
      <c r="G13" s="244"/>
      <c r="H13" s="627"/>
      <c r="I13" s="295"/>
    </row>
    <row r="14" spans="1:9" ht="15" customHeight="1" x14ac:dyDescent="0.3">
      <c r="A14" s="1401" t="s">
        <v>3</v>
      </c>
      <c r="B14" s="1309" t="s">
        <v>3</v>
      </c>
      <c r="C14" s="319" t="s">
        <v>142</v>
      </c>
      <c r="D14" s="236"/>
      <c r="E14" s="236"/>
      <c r="F14" s="236"/>
      <c r="G14" s="243"/>
      <c r="H14" s="499"/>
      <c r="I14" s="296"/>
    </row>
    <row r="15" spans="1:9" ht="15" customHeight="1" x14ac:dyDescent="0.3">
      <c r="A15" s="1401"/>
      <c r="B15" s="1309"/>
      <c r="C15" s="320" t="s">
        <v>143</v>
      </c>
      <c r="D15" s="231"/>
      <c r="E15" s="231"/>
      <c r="F15" s="231"/>
      <c r="G15" s="243"/>
      <c r="H15" s="499"/>
      <c r="I15" s="297"/>
    </row>
    <row r="16" spans="1:9" ht="15" customHeight="1" x14ac:dyDescent="0.3">
      <c r="A16" s="1401"/>
      <c r="B16" s="1309"/>
      <c r="C16" s="320" t="s">
        <v>144</v>
      </c>
      <c r="D16" s="231"/>
      <c r="E16" s="231"/>
      <c r="F16" s="231"/>
      <c r="G16" s="243"/>
      <c r="H16" s="499"/>
      <c r="I16" s="297"/>
    </row>
    <row r="17" spans="1:9" ht="15" customHeight="1" x14ac:dyDescent="0.3">
      <c r="A17" s="1401"/>
      <c r="B17" s="1309"/>
      <c r="C17" s="320" t="s">
        <v>145</v>
      </c>
      <c r="D17" s="231"/>
      <c r="E17" s="231"/>
      <c r="F17" s="231"/>
      <c r="G17" s="243"/>
      <c r="H17" s="499"/>
      <c r="I17" s="297"/>
    </row>
    <row r="18" spans="1:9" ht="15" customHeight="1" x14ac:dyDescent="0.3">
      <c r="A18" s="1401"/>
      <c r="B18" s="1309"/>
      <c r="C18" s="319" t="s">
        <v>146</v>
      </c>
      <c r="D18" s="231"/>
      <c r="E18" s="231"/>
      <c r="F18" s="231"/>
      <c r="G18" s="243"/>
      <c r="H18" s="499"/>
      <c r="I18" s="294"/>
    </row>
    <row r="19" spans="1:9" ht="15" customHeight="1" x14ac:dyDescent="0.3">
      <c r="A19" s="1401"/>
      <c r="B19" s="1309"/>
      <c r="C19" s="146" t="s">
        <v>148</v>
      </c>
      <c r="D19" s="626">
        <v>15750000</v>
      </c>
      <c r="E19" s="626">
        <v>9270470</v>
      </c>
      <c r="F19" s="626">
        <v>10510500</v>
      </c>
      <c r="G19" s="599">
        <f t="shared" ref="G19:G20" si="0">F19-D19</f>
        <v>-5239500</v>
      </c>
      <c r="H19" s="499">
        <f t="shared" ref="H19:H44" si="1">G19/D19*100%</f>
        <v>-0.33266666666666667</v>
      </c>
      <c r="I19" s="294"/>
    </row>
    <row r="20" spans="1:9" ht="15" customHeight="1" x14ac:dyDescent="0.3">
      <c r="A20" s="1401"/>
      <c r="B20" s="1309"/>
      <c r="C20" s="146" t="s">
        <v>149</v>
      </c>
      <c r="D20" s="626">
        <v>2500000</v>
      </c>
      <c r="E20" s="626">
        <v>1500000</v>
      </c>
      <c r="F20" s="626">
        <v>2500000</v>
      </c>
      <c r="G20" s="911">
        <f t="shared" si="0"/>
        <v>0</v>
      </c>
      <c r="H20" s="499">
        <f t="shared" si="1"/>
        <v>0</v>
      </c>
      <c r="I20" s="294"/>
    </row>
    <row r="21" spans="1:9" ht="15" customHeight="1" x14ac:dyDescent="0.3">
      <c r="A21" s="1401"/>
      <c r="B21" s="1288"/>
      <c r="C21" s="146" t="s">
        <v>167</v>
      </c>
      <c r="D21" s="65"/>
      <c r="E21" s="65"/>
      <c r="F21" s="35"/>
      <c r="G21" s="36">
        <f>F21-D21</f>
        <v>0</v>
      </c>
      <c r="H21" s="499"/>
      <c r="I21" s="37"/>
    </row>
    <row r="22" spans="1:9" ht="18" thickBot="1" x14ac:dyDescent="0.35">
      <c r="A22" s="1460"/>
      <c r="B22" s="1403" t="s">
        <v>13</v>
      </c>
      <c r="C22" s="1404"/>
      <c r="D22" s="520">
        <f>SUM(D14:D21)</f>
        <v>18250000</v>
      </c>
      <c r="E22" s="520">
        <f t="shared" ref="E22:F22" si="2">SUM(E14:E21)</f>
        <v>10770470</v>
      </c>
      <c r="F22" s="520">
        <f t="shared" si="2"/>
        <v>13010500</v>
      </c>
      <c r="G22" s="910">
        <f t="shared" ref="G22:G48" si="3">F22-D22</f>
        <v>-5239500</v>
      </c>
      <c r="H22" s="602">
        <f t="shared" si="1"/>
        <v>-0.2870958904109589</v>
      </c>
      <c r="I22" s="41"/>
    </row>
    <row r="23" spans="1:9" ht="19.5" customHeight="1" x14ac:dyDescent="0.3">
      <c r="A23" s="1371" t="s">
        <v>159</v>
      </c>
      <c r="B23" s="1308" t="s">
        <v>159</v>
      </c>
      <c r="C23" s="147" t="s">
        <v>113</v>
      </c>
      <c r="D23" s="70"/>
      <c r="E23" s="70"/>
      <c r="F23" s="71"/>
      <c r="G23" s="160">
        <f t="shared" si="3"/>
        <v>0</v>
      </c>
      <c r="H23" s="499"/>
      <c r="I23" s="79"/>
    </row>
    <row r="24" spans="1:9" ht="19.5" customHeight="1" x14ac:dyDescent="0.3">
      <c r="A24" s="1372"/>
      <c r="B24" s="1309"/>
      <c r="C24" s="320" t="s">
        <v>63</v>
      </c>
      <c r="D24" s="884">
        <v>999786000</v>
      </c>
      <c r="E24" s="44">
        <v>970479000</v>
      </c>
      <c r="F24" s="884">
        <v>990212000</v>
      </c>
      <c r="G24" s="600">
        <f t="shared" si="3"/>
        <v>-9574000</v>
      </c>
      <c r="H24" s="499">
        <f t="shared" si="1"/>
        <v>-9.5760492745447529E-3</v>
      </c>
      <c r="I24" s="80"/>
    </row>
    <row r="25" spans="1:9" ht="19.5" customHeight="1" x14ac:dyDescent="0.3">
      <c r="A25" s="1372"/>
      <c r="B25" s="1309"/>
      <c r="C25" s="320" t="s">
        <v>30</v>
      </c>
      <c r="D25" s="884">
        <v>19000000</v>
      </c>
      <c r="E25" s="44">
        <v>19000000</v>
      </c>
      <c r="F25" s="884">
        <v>19000000</v>
      </c>
      <c r="G25" s="161">
        <f t="shared" si="3"/>
        <v>0</v>
      </c>
      <c r="H25" s="499">
        <f t="shared" si="1"/>
        <v>0</v>
      </c>
      <c r="I25" s="80"/>
    </row>
    <row r="26" spans="1:9" ht="19.5" customHeight="1" x14ac:dyDescent="0.3">
      <c r="A26" s="1372"/>
      <c r="B26" s="1288"/>
      <c r="C26" s="320" t="s">
        <v>64</v>
      </c>
      <c r="D26" s="884">
        <v>20180000</v>
      </c>
      <c r="E26" s="44">
        <v>20180000</v>
      </c>
      <c r="F26" s="884">
        <v>20180000</v>
      </c>
      <c r="G26" s="161">
        <f t="shared" si="3"/>
        <v>0</v>
      </c>
      <c r="H26" s="499">
        <f t="shared" si="1"/>
        <v>0</v>
      </c>
      <c r="I26" s="514"/>
    </row>
    <row r="27" spans="1:9" ht="18" thickBot="1" x14ac:dyDescent="0.35">
      <c r="A27" s="1373"/>
      <c r="B27" s="1368" t="s">
        <v>13</v>
      </c>
      <c r="C27" s="1394"/>
      <c r="D27" s="519">
        <f>SUM(D23:D26)</f>
        <v>1038966000</v>
      </c>
      <c r="E27" s="519">
        <f t="shared" ref="E27:F27" si="4">SUM(E23:E26)</f>
        <v>1009659000</v>
      </c>
      <c r="F27" s="519">
        <f t="shared" si="4"/>
        <v>1029392000</v>
      </c>
      <c r="G27" s="749">
        <f t="shared" si="3"/>
        <v>-9574000</v>
      </c>
      <c r="H27" s="521">
        <f t="shared" si="1"/>
        <v>-9.2149309987044816E-3</v>
      </c>
      <c r="I27" s="81"/>
    </row>
    <row r="28" spans="1:9" ht="18.75" customHeight="1" x14ac:dyDescent="0.3">
      <c r="A28" s="1325" t="s">
        <v>161</v>
      </c>
      <c r="B28" s="1288" t="s">
        <v>161</v>
      </c>
      <c r="C28" s="151" t="s">
        <v>6</v>
      </c>
      <c r="D28" s="885">
        <v>136300000</v>
      </c>
      <c r="E28" s="885">
        <v>106655880</v>
      </c>
      <c r="F28" s="885">
        <v>120580000</v>
      </c>
      <c r="G28" s="35">
        <f t="shared" si="3"/>
        <v>-15720000</v>
      </c>
      <c r="H28" s="499">
        <f t="shared" si="1"/>
        <v>-0.11533382245047689</v>
      </c>
      <c r="I28" s="633"/>
    </row>
    <row r="29" spans="1:9" ht="18.75" customHeight="1" x14ac:dyDescent="0.3">
      <c r="A29" s="1326"/>
      <c r="B29" s="1289"/>
      <c r="C29" s="151" t="s">
        <v>7</v>
      </c>
      <c r="D29" s="36">
        <v>180250000</v>
      </c>
      <c r="E29" s="65">
        <v>119474015</v>
      </c>
      <c r="F29" s="36">
        <v>150250000</v>
      </c>
      <c r="G29" s="35">
        <f t="shared" si="3"/>
        <v>-30000000</v>
      </c>
      <c r="H29" s="499">
        <f t="shared" si="1"/>
        <v>-0.16643550624133149</v>
      </c>
      <c r="I29" s="634"/>
    </row>
    <row r="30" spans="1:9" ht="18" thickBot="1" x14ac:dyDescent="0.35">
      <c r="A30" s="1327"/>
      <c r="B30" s="1374" t="s">
        <v>13</v>
      </c>
      <c r="C30" s="1374"/>
      <c r="D30" s="539">
        <f>SUM(D28:D29)</f>
        <v>316550000</v>
      </c>
      <c r="E30" s="539">
        <f t="shared" ref="E30:F30" si="5">SUM(E28:E29)</f>
        <v>226129895</v>
      </c>
      <c r="F30" s="601">
        <f t="shared" si="5"/>
        <v>270830000</v>
      </c>
      <c r="G30" s="603">
        <f t="shared" si="3"/>
        <v>-45720000</v>
      </c>
      <c r="H30" s="602">
        <f t="shared" si="1"/>
        <v>-0.14443215921655347</v>
      </c>
      <c r="I30" s="42"/>
    </row>
    <row r="31" spans="1:9" ht="16.5" customHeight="1" x14ac:dyDescent="0.3">
      <c r="A31" s="1370" t="s">
        <v>163</v>
      </c>
      <c r="B31" s="1308" t="s">
        <v>163</v>
      </c>
      <c r="C31" s="147" t="s">
        <v>154</v>
      </c>
      <c r="D31" s="71"/>
      <c r="E31" s="71"/>
      <c r="F31" s="69"/>
      <c r="G31" s="69"/>
      <c r="H31" s="499"/>
      <c r="I31" s="79"/>
    </row>
    <row r="32" spans="1:9" ht="16.5" customHeight="1" x14ac:dyDescent="0.3">
      <c r="A32" s="1364"/>
      <c r="B32" s="1288"/>
      <c r="C32" s="320" t="s">
        <v>155</v>
      </c>
      <c r="D32" s="66"/>
      <c r="E32" s="66"/>
      <c r="F32" s="66"/>
      <c r="G32" s="66"/>
      <c r="H32" s="499"/>
      <c r="I32" s="83"/>
    </row>
    <row r="33" spans="1:9" ht="18" thickBot="1" x14ac:dyDescent="0.35">
      <c r="A33" s="1365"/>
      <c r="B33" s="321"/>
      <c r="C33" s="321" t="s">
        <v>13</v>
      </c>
      <c r="D33" s="73"/>
      <c r="E33" s="73"/>
      <c r="F33" s="73"/>
      <c r="G33" s="40"/>
      <c r="H33" s="516"/>
      <c r="I33" s="81"/>
    </row>
    <row r="34" spans="1:9" ht="19.5" customHeight="1" x14ac:dyDescent="0.3">
      <c r="A34" s="326"/>
      <c r="B34" s="1309" t="s">
        <v>4</v>
      </c>
      <c r="C34" s="319" t="s">
        <v>183</v>
      </c>
      <c r="D34" s="885">
        <v>3000000</v>
      </c>
      <c r="E34" s="885">
        <v>3000000</v>
      </c>
      <c r="F34" s="885">
        <v>3000000</v>
      </c>
      <c r="G34" s="71">
        <f t="shared" si="3"/>
        <v>0</v>
      </c>
      <c r="H34" s="499">
        <f t="shared" si="1"/>
        <v>0</v>
      </c>
      <c r="I34" s="240"/>
    </row>
    <row r="35" spans="1:9" ht="19.5" customHeight="1" x14ac:dyDescent="0.3">
      <c r="A35" s="1303" t="s">
        <v>4</v>
      </c>
      <c r="B35" s="1288"/>
      <c r="C35" s="146" t="s">
        <v>184</v>
      </c>
      <c r="D35" s="44">
        <v>10000005</v>
      </c>
      <c r="E35" s="884">
        <v>10000005</v>
      </c>
      <c r="F35" s="44">
        <v>10000005</v>
      </c>
      <c r="G35" s="69">
        <f t="shared" si="3"/>
        <v>0</v>
      </c>
      <c r="H35" s="499">
        <f t="shared" si="1"/>
        <v>0</v>
      </c>
      <c r="I35" s="83"/>
    </row>
    <row r="36" spans="1:9" ht="18" thickBot="1" x14ac:dyDescent="0.35">
      <c r="A36" s="1304"/>
      <c r="B36" s="1399" t="s">
        <v>13</v>
      </c>
      <c r="C36" s="1400"/>
      <c r="D36" s="629">
        <f>SUM(D34:D35)</f>
        <v>13000005</v>
      </c>
      <c r="E36" s="629">
        <f t="shared" ref="E36:F36" si="6">SUM(E34:E35)</f>
        <v>13000005</v>
      </c>
      <c r="F36" s="629">
        <f t="shared" si="6"/>
        <v>13000005</v>
      </c>
      <c r="G36" s="587">
        <f t="shared" si="3"/>
        <v>0</v>
      </c>
      <c r="H36" s="602">
        <f t="shared" si="1"/>
        <v>0</v>
      </c>
      <c r="I36" s="42"/>
    </row>
    <row r="37" spans="1:9" ht="21" customHeight="1" x14ac:dyDescent="0.3">
      <c r="A37" s="1302" t="s">
        <v>170</v>
      </c>
      <c r="B37" s="1308" t="s">
        <v>170</v>
      </c>
      <c r="C37" s="149" t="s">
        <v>9</v>
      </c>
      <c r="D37" s="43">
        <v>16549870</v>
      </c>
      <c r="E37" s="68">
        <v>16549870</v>
      </c>
      <c r="F37" s="43">
        <v>16549870</v>
      </c>
      <c r="G37" s="36">
        <f t="shared" si="3"/>
        <v>0</v>
      </c>
      <c r="H37" s="499">
        <f t="shared" si="1"/>
        <v>0</v>
      </c>
      <c r="I37" s="74"/>
    </row>
    <row r="38" spans="1:9" ht="21" customHeight="1" x14ac:dyDescent="0.3">
      <c r="A38" s="1303"/>
      <c r="B38" s="1288"/>
      <c r="C38" s="828" t="s">
        <v>174</v>
      </c>
      <c r="D38" s="133">
        <v>265649753</v>
      </c>
      <c r="E38" s="75">
        <v>265649753</v>
      </c>
      <c r="F38" s="133">
        <v>265649753</v>
      </c>
      <c r="G38" s="36">
        <f t="shared" si="3"/>
        <v>0</v>
      </c>
      <c r="H38" s="499">
        <f t="shared" si="1"/>
        <v>0</v>
      </c>
      <c r="I38" s="239"/>
    </row>
    <row r="39" spans="1:9" ht="18" thickBot="1" x14ac:dyDescent="0.35">
      <c r="A39" s="1304"/>
      <c r="B39" s="1312" t="s">
        <v>348</v>
      </c>
      <c r="C39" s="1313"/>
      <c r="D39" s="519">
        <f>SUM(D37:D38)</f>
        <v>282199623</v>
      </c>
      <c r="E39" s="519">
        <f t="shared" ref="E39:F39" si="7">SUM(E37:E38)</f>
        <v>282199623</v>
      </c>
      <c r="F39" s="519">
        <f t="shared" si="7"/>
        <v>282199623</v>
      </c>
      <c r="G39" s="520">
        <f t="shared" si="3"/>
        <v>0</v>
      </c>
      <c r="H39" s="522">
        <f t="shared" si="1"/>
        <v>0</v>
      </c>
      <c r="I39" s="81"/>
    </row>
    <row r="40" spans="1:9" ht="16.5" customHeight="1" x14ac:dyDescent="0.3">
      <c r="A40" s="1473" t="s">
        <v>172</v>
      </c>
      <c r="B40" s="1288" t="s">
        <v>172</v>
      </c>
      <c r="C40" s="827" t="s">
        <v>346</v>
      </c>
      <c r="D40" s="44">
        <v>6200000</v>
      </c>
      <c r="E40" s="884">
        <v>6200000</v>
      </c>
      <c r="F40" s="44">
        <v>6200000</v>
      </c>
      <c r="G40" s="36">
        <f t="shared" si="3"/>
        <v>0</v>
      </c>
      <c r="H40" s="499">
        <f t="shared" si="1"/>
        <v>0</v>
      </c>
      <c r="I40" s="644"/>
    </row>
    <row r="41" spans="1:9" ht="16.5" customHeight="1" x14ac:dyDescent="0.3">
      <c r="A41" s="1457"/>
      <c r="B41" s="1289"/>
      <c r="C41" s="619" t="s">
        <v>173</v>
      </c>
      <c r="D41" s="44">
        <v>184372</v>
      </c>
      <c r="E41" s="884">
        <v>19112</v>
      </c>
      <c r="F41" s="44">
        <v>84578</v>
      </c>
      <c r="G41" s="36">
        <f t="shared" si="3"/>
        <v>-99794</v>
      </c>
      <c r="H41" s="499">
        <f t="shared" si="1"/>
        <v>-0.54126440023430888</v>
      </c>
      <c r="I41" s="83"/>
    </row>
    <row r="42" spans="1:9" ht="16.5" customHeight="1" x14ac:dyDescent="0.3">
      <c r="A42" s="1457"/>
      <c r="B42" s="1289"/>
      <c r="C42" s="320" t="s">
        <v>175</v>
      </c>
      <c r="D42" s="44"/>
      <c r="E42" s="884"/>
      <c r="F42" s="44"/>
      <c r="G42" s="36">
        <f t="shared" si="3"/>
        <v>0</v>
      </c>
      <c r="H42" s="499"/>
      <c r="I42" s="83"/>
    </row>
    <row r="43" spans="1:9" ht="16.5" customHeight="1" x14ac:dyDescent="0.3">
      <c r="A43" s="1457"/>
      <c r="B43" s="1289"/>
      <c r="C43" s="320" t="s">
        <v>10</v>
      </c>
      <c r="D43" s="44">
        <v>17800000</v>
      </c>
      <c r="E43" s="884">
        <v>17428744</v>
      </c>
      <c r="F43" s="44">
        <v>19746294</v>
      </c>
      <c r="G43" s="36">
        <f t="shared" si="3"/>
        <v>1946294</v>
      </c>
      <c r="H43" s="499">
        <f t="shared" si="1"/>
        <v>0.1093423595505618</v>
      </c>
      <c r="I43" s="83"/>
    </row>
    <row r="44" spans="1:9" ht="17.25" x14ac:dyDescent="0.3">
      <c r="A44" s="1474"/>
      <c r="B44" s="1390" t="s">
        <v>13</v>
      </c>
      <c r="C44" s="1390"/>
      <c r="D44" s="630">
        <f>SUM(D40:D43)</f>
        <v>24184372</v>
      </c>
      <c r="E44" s="630">
        <f t="shared" ref="E44:F44" si="8">SUM(E40:E43)</f>
        <v>23647856</v>
      </c>
      <c r="F44" s="630">
        <f t="shared" si="8"/>
        <v>26030872</v>
      </c>
      <c r="G44" s="631">
        <f t="shared" si="3"/>
        <v>1846500</v>
      </c>
      <c r="H44" s="632">
        <f t="shared" si="1"/>
        <v>7.6350959206217969E-2</v>
      </c>
      <c r="I44" s="83"/>
    </row>
    <row r="45" spans="1:9" ht="30" customHeight="1" x14ac:dyDescent="0.3">
      <c r="A45" s="1326" t="s">
        <v>176</v>
      </c>
      <c r="B45" s="1289" t="s">
        <v>177</v>
      </c>
      <c r="C45" s="320" t="s">
        <v>178</v>
      </c>
      <c r="D45" s="66"/>
      <c r="E45" s="66"/>
      <c r="F45" s="44"/>
      <c r="G45" s="36"/>
      <c r="H45" s="499"/>
      <c r="I45" s="240"/>
    </row>
    <row r="46" spans="1:9" ht="21" customHeight="1" x14ac:dyDescent="0.3">
      <c r="A46" s="1326"/>
      <c r="B46" s="1289"/>
      <c r="C46" s="320" t="s">
        <v>179</v>
      </c>
      <c r="D46" s="66"/>
      <c r="E46" s="66"/>
      <c r="F46" s="44"/>
      <c r="G46" s="36"/>
      <c r="H46" s="499"/>
      <c r="I46" s="83"/>
    </row>
    <row r="47" spans="1:9" ht="23.25" customHeight="1" thickBot="1" x14ac:dyDescent="0.35">
      <c r="A47" s="1459"/>
      <c r="B47" s="1390" t="s">
        <v>13</v>
      </c>
      <c r="C47" s="1390"/>
      <c r="D47" s="131"/>
      <c r="E47" s="131"/>
      <c r="F47" s="131"/>
      <c r="G47" s="133"/>
      <c r="H47" s="499"/>
      <c r="I47" s="135"/>
    </row>
    <row r="48" spans="1:9" ht="17.25" thickBot="1" x14ac:dyDescent="0.35">
      <c r="A48" s="1391" t="s">
        <v>41</v>
      </c>
      <c r="B48" s="1392"/>
      <c r="C48" s="1393"/>
      <c r="D48" s="302">
        <f>SUM(D22,D27,D30,D36,D39,D44,D47)</f>
        <v>1693150000</v>
      </c>
      <c r="E48" s="302">
        <f>SUM(E22,E27,E30,E36,E39,,E44,E47)</f>
        <v>1565406849</v>
      </c>
      <c r="F48" s="302">
        <f>SUM(F22,F27,F30,F36,F39,F44,F47)</f>
        <v>1634463000</v>
      </c>
      <c r="G48" s="606">
        <f t="shared" si="3"/>
        <v>-58687000</v>
      </c>
      <c r="H48" s="523">
        <f>G48/D48*100%</f>
        <v>-3.4661429879219205E-2</v>
      </c>
      <c r="I48" s="78"/>
    </row>
    <row r="49" spans="1:9" ht="17.25" thickBot="1" x14ac:dyDescent="0.35">
      <c r="A49" s="1475" t="s">
        <v>66</v>
      </c>
      <c r="B49" s="1340"/>
      <c r="C49" s="1340"/>
      <c r="D49" s="1340"/>
      <c r="E49" s="1340"/>
      <c r="F49" s="1340"/>
      <c r="G49" s="1340"/>
      <c r="H49" s="1340"/>
      <c r="I49" s="1476"/>
    </row>
    <row r="50" spans="1:9" ht="17.45" customHeight="1" x14ac:dyDescent="0.3">
      <c r="A50" s="1314" t="s">
        <v>29</v>
      </c>
      <c r="B50" s="1315"/>
      <c r="C50" s="1315"/>
      <c r="D50" s="1273" t="s">
        <v>237</v>
      </c>
      <c r="E50" s="1273" t="s">
        <v>394</v>
      </c>
      <c r="F50" s="1273" t="s">
        <v>318</v>
      </c>
      <c r="G50" s="1273" t="s">
        <v>59</v>
      </c>
      <c r="H50" s="1275" t="s">
        <v>49</v>
      </c>
      <c r="I50" s="1277" t="s">
        <v>61</v>
      </c>
    </row>
    <row r="51" spans="1:9" ht="18" customHeight="1" thickBot="1" x14ac:dyDescent="0.35">
      <c r="A51" s="84" t="s">
        <v>0</v>
      </c>
      <c r="B51" s="136" t="s">
        <v>1</v>
      </c>
      <c r="C51" s="136" t="s">
        <v>2</v>
      </c>
      <c r="D51" s="1274"/>
      <c r="E51" s="1274"/>
      <c r="F51" s="1274"/>
      <c r="G51" s="1274"/>
      <c r="H51" s="1276"/>
      <c r="I51" s="1278"/>
    </row>
    <row r="52" spans="1:9" x14ac:dyDescent="0.3">
      <c r="A52" s="159" t="s">
        <v>185</v>
      </c>
      <c r="B52" s="1323" t="s">
        <v>186</v>
      </c>
      <c r="C52" s="536" t="s">
        <v>17</v>
      </c>
      <c r="D52" s="35">
        <v>607479560</v>
      </c>
      <c r="E52" s="35">
        <v>553612470</v>
      </c>
      <c r="F52" s="35">
        <v>605790190</v>
      </c>
      <c r="G52" s="43">
        <f>F52-D52</f>
        <v>-1689370</v>
      </c>
      <c r="H52" s="637">
        <f>G52/D52*100%</f>
        <v>-2.7809495351580225E-3</v>
      </c>
      <c r="I52" s="544"/>
    </row>
    <row r="53" spans="1:9" x14ac:dyDescent="0.3">
      <c r="A53" s="64"/>
      <c r="B53" s="1289"/>
      <c r="C53" s="150" t="s">
        <v>32</v>
      </c>
      <c r="D53" s="35">
        <v>86720440</v>
      </c>
      <c r="E53" s="35">
        <v>83114490</v>
      </c>
      <c r="F53" s="35">
        <v>85900320</v>
      </c>
      <c r="G53" s="35">
        <f t="shared" ref="G53:G112" si="9">F53-D53</f>
        <v>-820120</v>
      </c>
      <c r="H53" s="495">
        <f t="shared" ref="H53:H111" si="10">G53/D53*100%</f>
        <v>-9.4570553378188586E-3</v>
      </c>
      <c r="I53" s="37"/>
    </row>
    <row r="54" spans="1:9" x14ac:dyDescent="0.3">
      <c r="A54" s="64"/>
      <c r="B54" s="1289"/>
      <c r="C54" s="150" t="s">
        <v>180</v>
      </c>
      <c r="D54" s="35"/>
      <c r="E54" s="36"/>
      <c r="F54" s="35"/>
      <c r="G54" s="36">
        <f t="shared" si="9"/>
        <v>0</v>
      </c>
      <c r="H54" s="495"/>
      <c r="I54" s="37"/>
    </row>
    <row r="55" spans="1:9" ht="21" customHeight="1" x14ac:dyDescent="0.3">
      <c r="A55" s="64"/>
      <c r="B55" s="1289"/>
      <c r="C55" s="150" t="s">
        <v>84</v>
      </c>
      <c r="D55" s="35">
        <v>58378000</v>
      </c>
      <c r="E55" s="35">
        <v>55391790</v>
      </c>
      <c r="F55" s="35">
        <v>60127660</v>
      </c>
      <c r="G55" s="36">
        <f t="shared" si="9"/>
        <v>1749660</v>
      </c>
      <c r="H55" s="495">
        <f t="shared" si="10"/>
        <v>2.9971222035698381E-2</v>
      </c>
      <c r="I55" s="37"/>
    </row>
    <row r="56" spans="1:9" ht="19.5" customHeight="1" x14ac:dyDescent="0.3">
      <c r="A56" s="64"/>
      <c r="B56" s="1289"/>
      <c r="C56" s="150" t="s">
        <v>33</v>
      </c>
      <c r="D56" s="35">
        <v>75000000</v>
      </c>
      <c r="E56" s="35">
        <v>63889530</v>
      </c>
      <c r="F56" s="35">
        <v>71300000</v>
      </c>
      <c r="G56" s="35">
        <f t="shared" si="9"/>
        <v>-3700000</v>
      </c>
      <c r="H56" s="495">
        <f t="shared" si="10"/>
        <v>-4.9333333333333333E-2</v>
      </c>
      <c r="I56" s="37"/>
    </row>
    <row r="57" spans="1:9" ht="19.5" customHeight="1" x14ac:dyDescent="0.3">
      <c r="A57" s="64"/>
      <c r="B57" s="1289"/>
      <c r="C57" s="150" t="s">
        <v>18</v>
      </c>
      <c r="D57" s="35">
        <v>2100000</v>
      </c>
      <c r="E57" s="35">
        <v>1258340</v>
      </c>
      <c r="F57" s="35">
        <v>2000000</v>
      </c>
      <c r="G57" s="35">
        <f t="shared" si="9"/>
        <v>-100000</v>
      </c>
      <c r="H57" s="495">
        <f t="shared" si="10"/>
        <v>-4.7619047619047616E-2</v>
      </c>
      <c r="I57" s="37"/>
    </row>
    <row r="58" spans="1:9" ht="17.25" thickBot="1" x14ac:dyDescent="0.35">
      <c r="A58" s="64"/>
      <c r="B58" s="1324"/>
      <c r="C58" s="538" t="s">
        <v>305</v>
      </c>
      <c r="D58" s="539">
        <f>SUM(D52:D57)</f>
        <v>829678000</v>
      </c>
      <c r="E58" s="539">
        <f t="shared" ref="E58:F58" si="11">SUM(E52:E57)</f>
        <v>757266620</v>
      </c>
      <c r="F58" s="539">
        <f t="shared" si="11"/>
        <v>825118170</v>
      </c>
      <c r="G58" s="605">
        <f t="shared" si="9"/>
        <v>-4559830</v>
      </c>
      <c r="H58" s="636">
        <f t="shared" si="10"/>
        <v>-5.4959032299277547E-3</v>
      </c>
      <c r="I58" s="41"/>
    </row>
    <row r="59" spans="1:9" ht="21.75" customHeight="1" x14ac:dyDescent="0.3">
      <c r="A59" s="64"/>
      <c r="B59" s="1288" t="s">
        <v>90</v>
      </c>
      <c r="C59" s="623" t="s">
        <v>19</v>
      </c>
      <c r="D59" s="35">
        <v>350000</v>
      </c>
      <c r="E59" s="35">
        <v>170000</v>
      </c>
      <c r="F59" s="35">
        <v>350000</v>
      </c>
      <c r="G59" s="36">
        <f t="shared" si="9"/>
        <v>0</v>
      </c>
      <c r="H59" s="495">
        <f t="shared" si="10"/>
        <v>0</v>
      </c>
      <c r="I59" s="37"/>
    </row>
    <row r="60" spans="1:9" ht="21.75" customHeight="1" x14ac:dyDescent="0.3">
      <c r="A60" s="64"/>
      <c r="B60" s="1289"/>
      <c r="C60" s="219" t="s">
        <v>182</v>
      </c>
      <c r="D60" s="35">
        <v>3000000</v>
      </c>
      <c r="E60" s="35">
        <v>2750000</v>
      </c>
      <c r="F60" s="35">
        <v>3000000</v>
      </c>
      <c r="G60" s="36">
        <f t="shared" si="9"/>
        <v>0</v>
      </c>
      <c r="H60" s="495">
        <f t="shared" si="10"/>
        <v>0</v>
      </c>
      <c r="I60" s="37"/>
    </row>
    <row r="61" spans="1:9" x14ac:dyDescent="0.3">
      <c r="A61" s="64"/>
      <c r="B61" s="1289"/>
      <c r="C61" s="150" t="s">
        <v>20</v>
      </c>
      <c r="D61" s="35">
        <v>2740000</v>
      </c>
      <c r="E61" s="35">
        <v>1684700</v>
      </c>
      <c r="F61" s="35">
        <v>2740000</v>
      </c>
      <c r="G61" s="36">
        <f t="shared" si="9"/>
        <v>0</v>
      </c>
      <c r="H61" s="495">
        <f t="shared" si="10"/>
        <v>0</v>
      </c>
      <c r="I61" s="37"/>
    </row>
    <row r="62" spans="1:9" ht="17.25" thickBot="1" x14ac:dyDescent="0.35">
      <c r="A62" s="64"/>
      <c r="B62" s="1324"/>
      <c r="C62" s="538" t="s">
        <v>306</v>
      </c>
      <c r="D62" s="539">
        <f>SUM(D59:D61)</f>
        <v>6090000</v>
      </c>
      <c r="E62" s="539">
        <f t="shared" ref="E62:F62" si="12">SUM(E59:E61)</f>
        <v>4604700</v>
      </c>
      <c r="F62" s="539">
        <f t="shared" si="12"/>
        <v>6090000</v>
      </c>
      <c r="G62" s="520">
        <f t="shared" si="9"/>
        <v>0</v>
      </c>
      <c r="H62" s="636">
        <f t="shared" si="10"/>
        <v>0</v>
      </c>
      <c r="I62" s="41"/>
    </row>
    <row r="63" spans="1:9" x14ac:dyDescent="0.3">
      <c r="A63" s="64"/>
      <c r="B63" s="1288" t="s">
        <v>131</v>
      </c>
      <c r="C63" s="219" t="s">
        <v>21</v>
      </c>
      <c r="D63" s="35">
        <v>3500000</v>
      </c>
      <c r="E63" s="133">
        <v>540800</v>
      </c>
      <c r="F63" s="35">
        <v>3500000</v>
      </c>
      <c r="G63" s="36">
        <f t="shared" si="9"/>
        <v>0</v>
      </c>
      <c r="H63" s="495">
        <f t="shared" si="10"/>
        <v>0</v>
      </c>
      <c r="I63" s="37"/>
    </row>
    <row r="64" spans="1:9" x14ac:dyDescent="0.3">
      <c r="A64" s="64"/>
      <c r="B64" s="1289"/>
      <c r="C64" s="150" t="s">
        <v>34</v>
      </c>
      <c r="D64" s="77">
        <v>39500000</v>
      </c>
      <c r="E64" s="132">
        <v>30153478</v>
      </c>
      <c r="F64" s="77">
        <v>39500000</v>
      </c>
      <c r="G64" s="36">
        <f t="shared" si="9"/>
        <v>0</v>
      </c>
      <c r="H64" s="495">
        <f t="shared" si="10"/>
        <v>0</v>
      </c>
      <c r="I64" s="37"/>
    </row>
    <row r="65" spans="1:9" x14ac:dyDescent="0.3">
      <c r="A65" s="64"/>
      <c r="B65" s="1289"/>
      <c r="C65" s="150" t="s">
        <v>23</v>
      </c>
      <c r="D65" s="77">
        <v>17736000</v>
      </c>
      <c r="E65" s="44">
        <v>14982390</v>
      </c>
      <c r="F65" s="77">
        <v>17786000</v>
      </c>
      <c r="G65" s="36">
        <f t="shared" si="9"/>
        <v>50000</v>
      </c>
      <c r="H65" s="495">
        <f t="shared" si="10"/>
        <v>2.8191249436175011E-3</v>
      </c>
      <c r="I65" s="37"/>
    </row>
    <row r="66" spans="1:9" x14ac:dyDescent="0.3">
      <c r="A66" s="64"/>
      <c r="B66" s="1289"/>
      <c r="C66" s="150" t="s">
        <v>24</v>
      </c>
      <c r="D66" s="77">
        <v>15700000</v>
      </c>
      <c r="E66" s="44">
        <v>12777800</v>
      </c>
      <c r="F66" s="77">
        <v>15700000</v>
      </c>
      <c r="G66" s="36">
        <f t="shared" si="9"/>
        <v>0</v>
      </c>
      <c r="H66" s="495">
        <f t="shared" si="10"/>
        <v>0</v>
      </c>
      <c r="I66" s="37"/>
    </row>
    <row r="67" spans="1:9" x14ac:dyDescent="0.3">
      <c r="A67" s="99"/>
      <c r="B67" s="1289"/>
      <c r="C67" s="150" t="s">
        <v>35</v>
      </c>
      <c r="D67" s="156">
        <v>19184000</v>
      </c>
      <c r="E67" s="132">
        <v>9402470</v>
      </c>
      <c r="F67" s="156">
        <v>13875000</v>
      </c>
      <c r="G67" s="908">
        <f t="shared" si="9"/>
        <v>-5309000</v>
      </c>
      <c r="H67" s="495">
        <f t="shared" si="10"/>
        <v>-0.27674103419516266</v>
      </c>
      <c r="I67" s="76"/>
    </row>
    <row r="68" spans="1:9" x14ac:dyDescent="0.3">
      <c r="A68" s="99"/>
      <c r="B68" s="1289"/>
      <c r="C68" s="624" t="s">
        <v>86</v>
      </c>
      <c r="D68" s="44">
        <v>4000000</v>
      </c>
      <c r="E68" s="44">
        <v>2000000</v>
      </c>
      <c r="F68" s="44">
        <v>2000000</v>
      </c>
      <c r="G68" s="44">
        <f t="shared" si="9"/>
        <v>-2000000</v>
      </c>
      <c r="H68" s="495">
        <f t="shared" si="10"/>
        <v>-0.5</v>
      </c>
      <c r="I68" s="83"/>
    </row>
    <row r="69" spans="1:9" x14ac:dyDescent="0.3">
      <c r="A69" s="99"/>
      <c r="B69" s="1289"/>
      <c r="C69" s="624" t="s">
        <v>36</v>
      </c>
      <c r="D69" s="44">
        <v>27955000</v>
      </c>
      <c r="E69" s="44">
        <v>19360720</v>
      </c>
      <c r="F69" s="44">
        <v>24301100</v>
      </c>
      <c r="G69" s="44">
        <f t="shared" si="9"/>
        <v>-3653900</v>
      </c>
      <c r="H69" s="495">
        <f t="shared" si="10"/>
        <v>-0.13070649257735648</v>
      </c>
      <c r="I69" s="83"/>
    </row>
    <row r="70" spans="1:9" ht="17.25" thickBot="1" x14ac:dyDescent="0.35">
      <c r="A70" s="99"/>
      <c r="B70" s="1324"/>
      <c r="C70" s="545" t="s">
        <v>307</v>
      </c>
      <c r="D70" s="580">
        <f>SUM(D63:D69)</f>
        <v>127575000</v>
      </c>
      <c r="E70" s="580">
        <f t="shared" ref="E70:F70" si="13">SUM(E63:E69)</f>
        <v>89217658</v>
      </c>
      <c r="F70" s="580">
        <f t="shared" si="13"/>
        <v>116662100</v>
      </c>
      <c r="G70" s="605">
        <f t="shared" si="9"/>
        <v>-10912900</v>
      </c>
      <c r="H70" s="636">
        <f t="shared" si="10"/>
        <v>-8.5541054281795023E-2</v>
      </c>
      <c r="I70" s="42"/>
    </row>
    <row r="71" spans="1:9" ht="17.25" thickBot="1" x14ac:dyDescent="0.35">
      <c r="A71" s="137" t="s">
        <v>123</v>
      </c>
      <c r="B71" s="1321" t="s">
        <v>13</v>
      </c>
      <c r="C71" s="1322"/>
      <c r="D71" s="576">
        <f>SUM(D58,D62,D70)</f>
        <v>963343000</v>
      </c>
      <c r="E71" s="520">
        <f t="shared" ref="E71:F71" si="14">SUM(E58,E62,E70)</f>
        <v>851088978</v>
      </c>
      <c r="F71" s="576">
        <f t="shared" si="14"/>
        <v>947870270</v>
      </c>
      <c r="G71" s="605">
        <f t="shared" si="9"/>
        <v>-15472730</v>
      </c>
      <c r="H71" s="636">
        <f t="shared" si="10"/>
        <v>-1.6061496268722563E-2</v>
      </c>
      <c r="I71" s="41"/>
    </row>
    <row r="72" spans="1:9" ht="24" customHeight="1" x14ac:dyDescent="0.3">
      <c r="A72" s="1395" t="s">
        <v>189</v>
      </c>
      <c r="B72" s="1323" t="s">
        <v>42</v>
      </c>
      <c r="C72" s="149" t="s">
        <v>11</v>
      </c>
      <c r="D72" s="541">
        <v>15000000</v>
      </c>
      <c r="E72" s="221">
        <v>10104500</v>
      </c>
      <c r="F72" s="541">
        <v>15000000</v>
      </c>
      <c r="G72" s="583">
        <f t="shared" si="9"/>
        <v>0</v>
      </c>
      <c r="H72" s="642">
        <f t="shared" si="10"/>
        <v>0</v>
      </c>
      <c r="I72" s="643"/>
    </row>
    <row r="73" spans="1:9" ht="24" customHeight="1" x14ac:dyDescent="0.3">
      <c r="A73" s="1325"/>
      <c r="B73" s="1288"/>
      <c r="C73" s="623" t="s">
        <v>335</v>
      </c>
      <c r="D73" s="77">
        <v>13495000</v>
      </c>
      <c r="E73" s="44">
        <v>2013000</v>
      </c>
      <c r="F73" s="77">
        <v>10495000</v>
      </c>
      <c r="G73" s="206">
        <f t="shared" si="9"/>
        <v>-3000000</v>
      </c>
      <c r="H73" s="218"/>
      <c r="I73" s="641"/>
    </row>
    <row r="74" spans="1:9" ht="24" customHeight="1" x14ac:dyDescent="0.3">
      <c r="A74" s="1326"/>
      <c r="B74" s="1289"/>
      <c r="C74" s="624" t="s">
        <v>37</v>
      </c>
      <c r="D74" s="209"/>
      <c r="E74" s="44"/>
      <c r="F74" s="77"/>
      <c r="G74" s="36">
        <f t="shared" si="9"/>
        <v>0</v>
      </c>
      <c r="H74" s="130" t="e">
        <f t="shared" si="10"/>
        <v>#DIV/0!</v>
      </c>
      <c r="I74" s="37"/>
    </row>
    <row r="75" spans="1:9" ht="17.25" thickBot="1" x14ac:dyDescent="0.35">
      <c r="A75" s="1327"/>
      <c r="B75" s="1300" t="s">
        <v>13</v>
      </c>
      <c r="C75" s="1301"/>
      <c r="D75" s="569">
        <f>SUM(D72:D74)</f>
        <v>28495000</v>
      </c>
      <c r="E75" s="569">
        <f t="shared" ref="E75:F75" si="15">SUM(E72:E74)</f>
        <v>12117500</v>
      </c>
      <c r="F75" s="569">
        <f t="shared" si="15"/>
        <v>25495000</v>
      </c>
      <c r="G75" s="605">
        <f t="shared" si="9"/>
        <v>-3000000</v>
      </c>
      <c r="H75" s="540">
        <f t="shared" si="10"/>
        <v>-0.10528162835585191</v>
      </c>
      <c r="I75" s="42"/>
    </row>
    <row r="76" spans="1:9" x14ac:dyDescent="0.3">
      <c r="A76" s="1303" t="s">
        <v>272</v>
      </c>
      <c r="B76" s="1305" t="s">
        <v>131</v>
      </c>
      <c r="C76" s="585" t="s">
        <v>132</v>
      </c>
      <c r="D76" s="70"/>
      <c r="E76" s="70"/>
      <c r="F76" s="70"/>
      <c r="G76" s="71">
        <f t="shared" si="9"/>
        <v>0</v>
      </c>
      <c r="H76" s="637"/>
      <c r="I76" s="79"/>
    </row>
    <row r="77" spans="1:9" x14ac:dyDescent="0.3">
      <c r="A77" s="1303"/>
      <c r="B77" s="1306"/>
      <c r="C77" s="622" t="s">
        <v>133</v>
      </c>
      <c r="D77" s="221"/>
      <c r="E77" s="221"/>
      <c r="F77" s="221"/>
      <c r="G77" s="66">
        <f t="shared" si="9"/>
        <v>0</v>
      </c>
      <c r="H77" s="495"/>
      <c r="I77" s="240"/>
    </row>
    <row r="78" spans="1:9" x14ac:dyDescent="0.3">
      <c r="A78" s="1303"/>
      <c r="B78" s="1306"/>
      <c r="C78" s="622" t="s">
        <v>194</v>
      </c>
      <c r="D78" s="221"/>
      <c r="E78" s="221"/>
      <c r="F78" s="221"/>
      <c r="G78" s="66">
        <f t="shared" si="9"/>
        <v>0</v>
      </c>
      <c r="H78" s="495"/>
      <c r="I78" s="240"/>
    </row>
    <row r="79" spans="1:9" x14ac:dyDescent="0.3">
      <c r="A79" s="1303"/>
      <c r="B79" s="1306"/>
      <c r="C79" s="230" t="s">
        <v>134</v>
      </c>
      <c r="D79" s="44"/>
      <c r="E79" s="44"/>
      <c r="F79" s="44"/>
      <c r="G79" s="66">
        <f t="shared" si="9"/>
        <v>0</v>
      </c>
      <c r="H79" s="495"/>
      <c r="I79" s="83"/>
    </row>
    <row r="80" spans="1:9" x14ac:dyDescent="0.3">
      <c r="A80" s="1303"/>
      <c r="B80" s="1306"/>
      <c r="C80" s="230" t="s">
        <v>195</v>
      </c>
      <c r="D80" s="44"/>
      <c r="E80" s="44"/>
      <c r="F80" s="44"/>
      <c r="G80" s="66">
        <f t="shared" si="9"/>
        <v>0</v>
      </c>
      <c r="H80" s="495"/>
      <c r="I80" s="83"/>
    </row>
    <row r="81" spans="1:9" ht="17.25" thickBot="1" x14ac:dyDescent="0.35">
      <c r="A81" s="1303"/>
      <c r="B81" s="1307"/>
      <c r="C81" s="586" t="s">
        <v>308</v>
      </c>
      <c r="D81" s="73">
        <f>SUM(D76:D80)</f>
        <v>0</v>
      </c>
      <c r="E81" s="73">
        <f t="shared" ref="E81:F81" si="16">SUM(E76:E80)</f>
        <v>0</v>
      </c>
      <c r="F81" s="73">
        <f t="shared" si="16"/>
        <v>0</v>
      </c>
      <c r="G81" s="73">
        <f t="shared" si="9"/>
        <v>0</v>
      </c>
      <c r="H81" s="640"/>
      <c r="I81" s="81"/>
    </row>
    <row r="82" spans="1:9" ht="17.25" customHeight="1" x14ac:dyDescent="0.3">
      <c r="A82" s="1303"/>
      <c r="B82" s="1308" t="s">
        <v>197</v>
      </c>
      <c r="C82" s="149" t="s">
        <v>164</v>
      </c>
      <c r="D82" s="221">
        <v>39100000</v>
      </c>
      <c r="E82" s="221">
        <v>18932670</v>
      </c>
      <c r="F82" s="221">
        <v>34100000</v>
      </c>
      <c r="G82" s="70">
        <f t="shared" si="9"/>
        <v>-5000000</v>
      </c>
      <c r="H82" s="453">
        <f t="shared" si="10"/>
        <v>-0.12787723785166241</v>
      </c>
      <c r="I82" s="645"/>
    </row>
    <row r="83" spans="1:9" ht="17.25" customHeight="1" x14ac:dyDescent="0.3">
      <c r="A83" s="1303"/>
      <c r="B83" s="1309"/>
      <c r="C83" s="624" t="s">
        <v>191</v>
      </c>
      <c r="D83" s="44">
        <v>285094235</v>
      </c>
      <c r="E83" s="44">
        <v>233977776</v>
      </c>
      <c r="F83" s="44">
        <v>266365585</v>
      </c>
      <c r="G83" s="44">
        <f t="shared" si="9"/>
        <v>-18728650</v>
      </c>
      <c r="H83" s="130">
        <f t="shared" si="10"/>
        <v>-6.5692840123547216E-2</v>
      </c>
      <c r="I83" s="514"/>
    </row>
    <row r="84" spans="1:9" ht="17.25" customHeight="1" x14ac:dyDescent="0.3">
      <c r="A84" s="1303"/>
      <c r="B84" s="1309"/>
      <c r="C84" s="624" t="s">
        <v>192</v>
      </c>
      <c r="D84" s="44">
        <v>198409790</v>
      </c>
      <c r="E84" s="44">
        <v>111894850</v>
      </c>
      <c r="F84" s="44">
        <v>128949890</v>
      </c>
      <c r="G84" s="44">
        <f t="shared" si="9"/>
        <v>-69459900</v>
      </c>
      <c r="H84" s="130">
        <f t="shared" si="10"/>
        <v>-0.35008302765705263</v>
      </c>
      <c r="I84" s="514"/>
    </row>
    <row r="85" spans="1:9" ht="17.25" customHeight="1" x14ac:dyDescent="0.3">
      <c r="A85" s="1303"/>
      <c r="B85" s="1309"/>
      <c r="C85" s="624" t="s">
        <v>140</v>
      </c>
      <c r="D85" s="44"/>
      <c r="E85" s="44"/>
      <c r="F85" s="44"/>
      <c r="G85" s="66">
        <f t="shared" si="9"/>
        <v>0</v>
      </c>
      <c r="H85" s="130"/>
      <c r="I85" s="83"/>
    </row>
    <row r="86" spans="1:9" ht="17.25" customHeight="1" x14ac:dyDescent="0.3">
      <c r="A86" s="1303"/>
      <c r="B86" s="1309"/>
      <c r="C86" s="624" t="s">
        <v>137</v>
      </c>
      <c r="D86" s="44"/>
      <c r="E86" s="44"/>
      <c r="F86" s="44"/>
      <c r="G86" s="66">
        <f t="shared" si="9"/>
        <v>0</v>
      </c>
      <c r="H86" s="130"/>
      <c r="I86" s="83"/>
    </row>
    <row r="87" spans="1:9" ht="17.25" customHeight="1" x14ac:dyDescent="0.3">
      <c r="A87" s="1303"/>
      <c r="B87" s="1309"/>
      <c r="C87" s="624" t="s">
        <v>141</v>
      </c>
      <c r="D87" s="44"/>
      <c r="E87" s="44"/>
      <c r="F87" s="44"/>
      <c r="G87" s="66">
        <f t="shared" si="9"/>
        <v>0</v>
      </c>
      <c r="H87" s="130"/>
      <c r="I87" s="83"/>
    </row>
    <row r="88" spans="1:9" ht="17.25" customHeight="1" x14ac:dyDescent="0.3">
      <c r="A88" s="1303"/>
      <c r="B88" s="1309"/>
      <c r="C88" s="624" t="s">
        <v>138</v>
      </c>
      <c r="D88" s="44"/>
      <c r="E88" s="44"/>
      <c r="F88" s="44"/>
      <c r="G88" s="66">
        <f t="shared" si="9"/>
        <v>0</v>
      </c>
      <c r="H88" s="130"/>
      <c r="I88" s="83"/>
    </row>
    <row r="89" spans="1:9" ht="17.25" customHeight="1" x14ac:dyDescent="0.3">
      <c r="A89" s="1303"/>
      <c r="B89" s="1309"/>
      <c r="C89" s="624" t="s">
        <v>139</v>
      </c>
      <c r="D89" s="44"/>
      <c r="E89" s="44"/>
      <c r="F89" s="44"/>
      <c r="G89" s="66">
        <f t="shared" si="9"/>
        <v>0</v>
      </c>
      <c r="H89" s="130"/>
      <c r="I89" s="83"/>
    </row>
    <row r="90" spans="1:9" ht="17.25" customHeight="1" x14ac:dyDescent="0.3">
      <c r="A90" s="1303"/>
      <c r="B90" s="1309"/>
      <c r="C90" s="624" t="s">
        <v>136</v>
      </c>
      <c r="D90" s="44"/>
      <c r="E90" s="44"/>
      <c r="F90" s="44"/>
      <c r="G90" s="66">
        <f t="shared" si="9"/>
        <v>0</v>
      </c>
      <c r="H90" s="130"/>
      <c r="I90" s="83"/>
    </row>
    <row r="91" spans="1:9" ht="17.25" customHeight="1" x14ac:dyDescent="0.3">
      <c r="A91" s="1303"/>
      <c r="B91" s="1309"/>
      <c r="C91" s="624" t="s">
        <v>135</v>
      </c>
      <c r="D91" s="44"/>
      <c r="E91" s="44"/>
      <c r="F91" s="44"/>
      <c r="G91" s="66">
        <f t="shared" si="9"/>
        <v>0</v>
      </c>
      <c r="H91" s="130"/>
      <c r="I91" s="83"/>
    </row>
    <row r="92" spans="1:9" ht="17.25" customHeight="1" x14ac:dyDescent="0.3">
      <c r="A92" s="1303"/>
      <c r="B92" s="1309"/>
      <c r="C92" s="624" t="s">
        <v>193</v>
      </c>
      <c r="D92" s="44"/>
      <c r="E92" s="44"/>
      <c r="F92" s="44"/>
      <c r="G92" s="66">
        <f t="shared" si="9"/>
        <v>0</v>
      </c>
      <c r="H92" s="130"/>
      <c r="I92" s="83"/>
    </row>
    <row r="93" spans="1:9" ht="17.25" customHeight="1" x14ac:dyDescent="0.3">
      <c r="A93" s="1303"/>
      <c r="B93" s="1309"/>
      <c r="C93" s="624" t="s">
        <v>239</v>
      </c>
      <c r="D93" s="44"/>
      <c r="E93" s="44"/>
      <c r="F93" s="44"/>
      <c r="G93" s="66">
        <f t="shared" si="9"/>
        <v>0</v>
      </c>
      <c r="H93" s="130"/>
      <c r="I93" s="83"/>
    </row>
    <row r="94" spans="1:9" ht="17.25" customHeight="1" x14ac:dyDescent="0.3">
      <c r="A94" s="1303"/>
      <c r="B94" s="1309"/>
      <c r="C94" s="624" t="s">
        <v>240</v>
      </c>
      <c r="D94" s="44"/>
      <c r="E94" s="44"/>
      <c r="F94" s="44"/>
      <c r="G94" s="66">
        <f t="shared" si="9"/>
        <v>0</v>
      </c>
      <c r="H94" s="130"/>
      <c r="I94" s="83"/>
    </row>
    <row r="95" spans="1:9" ht="17.25" customHeight="1" x14ac:dyDescent="0.3">
      <c r="A95" s="1303"/>
      <c r="B95" s="1309"/>
      <c r="C95" s="624" t="s">
        <v>241</v>
      </c>
      <c r="D95" s="44"/>
      <c r="E95" s="44"/>
      <c r="F95" s="44"/>
      <c r="G95" s="66">
        <f t="shared" si="9"/>
        <v>0</v>
      </c>
      <c r="H95" s="130"/>
      <c r="I95" s="83"/>
    </row>
    <row r="96" spans="1:9" ht="19.5" customHeight="1" x14ac:dyDescent="0.3">
      <c r="A96" s="1303"/>
      <c r="B96" s="1309"/>
      <c r="C96" s="624" t="s">
        <v>242</v>
      </c>
      <c r="D96" s="44"/>
      <c r="E96" s="44"/>
      <c r="F96" s="44"/>
      <c r="G96" s="66">
        <f t="shared" si="9"/>
        <v>0</v>
      </c>
      <c r="H96" s="130"/>
      <c r="I96" s="83"/>
    </row>
    <row r="97" spans="1:9" ht="19.5" customHeight="1" x14ac:dyDescent="0.3">
      <c r="A97" s="1303"/>
      <c r="B97" s="1309"/>
      <c r="C97" s="624" t="s">
        <v>243</v>
      </c>
      <c r="D97" s="44"/>
      <c r="E97" s="44"/>
      <c r="F97" s="44"/>
      <c r="G97" s="66">
        <f t="shared" si="9"/>
        <v>0</v>
      </c>
      <c r="H97" s="130"/>
      <c r="I97" s="83"/>
    </row>
    <row r="98" spans="1:9" ht="19.5" customHeight="1" x14ac:dyDescent="0.3">
      <c r="A98" s="1303"/>
      <c r="B98" s="1309"/>
      <c r="C98" s="624" t="s">
        <v>244</v>
      </c>
      <c r="D98" s="44"/>
      <c r="E98" s="44"/>
      <c r="F98" s="44"/>
      <c r="G98" s="66">
        <f t="shared" si="9"/>
        <v>0</v>
      </c>
      <c r="H98" s="130"/>
      <c r="I98" s="83"/>
    </row>
    <row r="99" spans="1:9" ht="19.5" customHeight="1" x14ac:dyDescent="0.3">
      <c r="A99" s="1303"/>
      <c r="B99" s="1309"/>
      <c r="C99" s="624" t="s">
        <v>245</v>
      </c>
      <c r="D99" s="44"/>
      <c r="E99" s="44"/>
      <c r="F99" s="44"/>
      <c r="G99" s="66">
        <f t="shared" si="9"/>
        <v>0</v>
      </c>
      <c r="H99" s="130"/>
      <c r="I99" s="83"/>
    </row>
    <row r="100" spans="1:9" ht="19.5" customHeight="1" x14ac:dyDescent="0.3">
      <c r="A100" s="1303"/>
      <c r="B100" s="1309"/>
      <c r="C100" s="624" t="s">
        <v>232</v>
      </c>
      <c r="D100" s="44"/>
      <c r="E100" s="44"/>
      <c r="F100" s="44"/>
      <c r="G100" s="66">
        <f t="shared" si="9"/>
        <v>0</v>
      </c>
      <c r="H100" s="130"/>
      <c r="I100" s="83"/>
    </row>
    <row r="101" spans="1:9" ht="19.5" customHeight="1" x14ac:dyDescent="0.3">
      <c r="A101" s="1303"/>
      <c r="B101" s="1309"/>
      <c r="C101" s="624" t="s">
        <v>233</v>
      </c>
      <c r="D101" s="44"/>
      <c r="E101" s="44"/>
      <c r="F101" s="44"/>
      <c r="G101" s="66">
        <f t="shared" si="9"/>
        <v>0</v>
      </c>
      <c r="H101" s="130"/>
      <c r="I101" s="83"/>
    </row>
    <row r="102" spans="1:9" ht="19.5" customHeight="1" x14ac:dyDescent="0.3">
      <c r="A102" s="1303"/>
      <c r="B102" s="1309"/>
      <c r="C102" s="624" t="s">
        <v>234</v>
      </c>
      <c r="D102" s="44"/>
      <c r="E102" s="44"/>
      <c r="F102" s="44"/>
      <c r="G102" s="66">
        <f t="shared" si="9"/>
        <v>0</v>
      </c>
      <c r="H102" s="130"/>
      <c r="I102" s="83"/>
    </row>
    <row r="103" spans="1:9" ht="19.5" customHeight="1" x14ac:dyDescent="0.3">
      <c r="A103" s="1303"/>
      <c r="B103" s="1309"/>
      <c r="C103" s="624" t="s">
        <v>235</v>
      </c>
      <c r="D103" s="44"/>
      <c r="E103" s="44"/>
      <c r="F103" s="44"/>
      <c r="G103" s="66">
        <f t="shared" si="9"/>
        <v>0</v>
      </c>
      <c r="H103" s="130"/>
      <c r="I103" s="83"/>
    </row>
    <row r="104" spans="1:9" ht="19.5" customHeight="1" thickBot="1" x14ac:dyDescent="0.35">
      <c r="A104" s="1303"/>
      <c r="B104" s="1310"/>
      <c r="C104" s="478" t="s">
        <v>309</v>
      </c>
      <c r="D104" s="519">
        <f>SUM(D82:D103)</f>
        <v>522604025</v>
      </c>
      <c r="E104" s="519">
        <f>SUM(E82:E103)</f>
        <v>364805296</v>
      </c>
      <c r="F104" s="519">
        <f>SUM(F82:F103)</f>
        <v>429415475</v>
      </c>
      <c r="G104" s="743">
        <f t="shared" si="9"/>
        <v>-93188550</v>
      </c>
      <c r="H104" s="540">
        <f t="shared" si="10"/>
        <v>-0.17831579081313045</v>
      </c>
      <c r="I104" s="81"/>
    </row>
    <row r="105" spans="1:9" ht="18" customHeight="1" thickBot="1" x14ac:dyDescent="0.35">
      <c r="A105" s="1304"/>
      <c r="B105" s="1470" t="s">
        <v>13</v>
      </c>
      <c r="C105" s="1470"/>
      <c r="D105" s="575">
        <f>SUM(D81,D104)</f>
        <v>522604025</v>
      </c>
      <c r="E105" s="575">
        <f>SUM(E81,E104)</f>
        <v>364805296</v>
      </c>
      <c r="F105" s="575">
        <f>SUM(F81,F104)</f>
        <v>429415475</v>
      </c>
      <c r="G105" s="912">
        <f t="shared" si="9"/>
        <v>-93188550</v>
      </c>
      <c r="H105" s="554">
        <f t="shared" si="10"/>
        <v>-0.17831579081313045</v>
      </c>
      <c r="I105" s="574"/>
    </row>
    <row r="106" spans="1:9" ht="24.75" customHeight="1" x14ac:dyDescent="0.3">
      <c r="A106" s="1303" t="s">
        <v>274</v>
      </c>
      <c r="B106" s="201" t="s">
        <v>268</v>
      </c>
      <c r="C106" s="219" t="s">
        <v>8</v>
      </c>
      <c r="D106" s="77">
        <v>1000000</v>
      </c>
      <c r="E106" s="885"/>
      <c r="F106" s="77">
        <v>1000000</v>
      </c>
      <c r="G106" s="36">
        <f t="shared" si="9"/>
        <v>0</v>
      </c>
      <c r="H106" s="167">
        <f t="shared" si="10"/>
        <v>0</v>
      </c>
      <c r="I106" s="37"/>
    </row>
    <row r="107" spans="1:9" ht="17.25" thickBot="1" x14ac:dyDescent="0.35">
      <c r="A107" s="1304"/>
      <c r="B107" s="1312" t="s">
        <v>13</v>
      </c>
      <c r="C107" s="1313"/>
      <c r="D107" s="210">
        <f>D106</f>
        <v>1000000</v>
      </c>
      <c r="E107" s="210">
        <f t="shared" ref="E107:F107" si="17">E106</f>
        <v>0</v>
      </c>
      <c r="F107" s="210">
        <f t="shared" si="17"/>
        <v>1000000</v>
      </c>
      <c r="G107" s="158">
        <f t="shared" si="9"/>
        <v>0</v>
      </c>
      <c r="H107" s="238">
        <f t="shared" si="10"/>
        <v>0</v>
      </c>
      <c r="I107" s="42"/>
    </row>
    <row r="108" spans="1:9" ht="24.75" customHeight="1" x14ac:dyDescent="0.3">
      <c r="A108" s="1286" t="s">
        <v>198</v>
      </c>
      <c r="B108" s="1288" t="s">
        <v>198</v>
      </c>
      <c r="C108" s="151" t="s">
        <v>65</v>
      </c>
      <c r="D108" s="214">
        <v>177104333</v>
      </c>
      <c r="E108" s="885">
        <v>0</v>
      </c>
      <c r="F108" s="214">
        <v>225528759</v>
      </c>
      <c r="G108" s="157">
        <f t="shared" si="9"/>
        <v>48424426</v>
      </c>
      <c r="H108" s="130">
        <f t="shared" si="10"/>
        <v>0.27342315786254651</v>
      </c>
      <c r="I108" s="39"/>
    </row>
    <row r="109" spans="1:9" ht="20.25" customHeight="1" x14ac:dyDescent="0.3">
      <c r="A109" s="1286"/>
      <c r="B109" s="1289"/>
      <c r="C109" s="146" t="s">
        <v>38</v>
      </c>
      <c r="D109" s="77">
        <v>603642</v>
      </c>
      <c r="E109" s="44">
        <v>2579</v>
      </c>
      <c r="F109" s="77">
        <v>5153496</v>
      </c>
      <c r="G109" s="36">
        <f t="shared" si="9"/>
        <v>4549854</v>
      </c>
      <c r="H109" s="130">
        <f t="shared" si="10"/>
        <v>7.5373383561779992</v>
      </c>
      <c r="I109" s="37"/>
    </row>
    <row r="110" spans="1:9" ht="17.25" thickBot="1" x14ac:dyDescent="0.35">
      <c r="A110" s="1461"/>
      <c r="B110" s="1321" t="s">
        <v>13</v>
      </c>
      <c r="C110" s="1322"/>
      <c r="D110" s="576">
        <f>SUM(D108:D109)</f>
        <v>177707975</v>
      </c>
      <c r="E110" s="576">
        <f t="shared" ref="E110:F110" si="18">SUM(E108:E109)</f>
        <v>2579</v>
      </c>
      <c r="F110" s="576">
        <f t="shared" si="18"/>
        <v>230682255</v>
      </c>
      <c r="G110" s="520">
        <f t="shared" si="9"/>
        <v>52974280</v>
      </c>
      <c r="H110" s="540">
        <f t="shared" si="10"/>
        <v>0.29809737013772175</v>
      </c>
      <c r="I110" s="41"/>
    </row>
    <row r="111" spans="1:9" ht="23.25" customHeight="1" thickBot="1" x14ac:dyDescent="0.35">
      <c r="A111" s="152" t="s">
        <v>43</v>
      </c>
      <c r="B111" s="153" t="s">
        <v>43</v>
      </c>
      <c r="C111" s="220" t="s">
        <v>68</v>
      </c>
      <c r="D111" s="213"/>
      <c r="E111" s="221"/>
      <c r="F111" s="215"/>
      <c r="G111" s="133">
        <f t="shared" si="9"/>
        <v>0</v>
      </c>
      <c r="H111" s="168" t="e">
        <f t="shared" si="10"/>
        <v>#DIV/0!</v>
      </c>
      <c r="I111" s="138"/>
    </row>
    <row r="112" spans="1:9" s="649" customFormat="1" ht="17.25" thickBot="1" x14ac:dyDescent="0.35">
      <c r="A112" s="1391" t="s">
        <v>41</v>
      </c>
      <c r="B112" s="1392"/>
      <c r="C112" s="1393"/>
      <c r="D112" s="302">
        <f>SUM(D71,D75,D105,D107,D110,D111)</f>
        <v>1693150000</v>
      </c>
      <c r="E112" s="302">
        <f>SUM(E71,E75,E105,E107,E110,E111)</f>
        <v>1228014353</v>
      </c>
      <c r="F112" s="302">
        <f>SUM(F71,F75,F105,F107,F110,F111)</f>
        <v>1634463000</v>
      </c>
      <c r="G112" s="606">
        <f t="shared" si="9"/>
        <v>-58687000</v>
      </c>
      <c r="H112" s="523">
        <f>G112/D112*100%</f>
        <v>-3.4661429879219205E-2</v>
      </c>
      <c r="I112" s="78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2:I112"/>
  <sheetViews>
    <sheetView topLeftCell="A100" workbookViewId="0">
      <selection activeCell="G118" sqref="G118"/>
    </sheetView>
  </sheetViews>
  <sheetFormatPr defaultRowHeight="16.5" x14ac:dyDescent="0.3"/>
  <cols>
    <col min="1" max="1" width="15.25" customWidth="1"/>
    <col min="2" max="2" width="12.25" customWidth="1"/>
    <col min="3" max="3" width="24.75" customWidth="1"/>
    <col min="4" max="4" width="18" customWidth="1"/>
    <col min="5" max="5" width="18.375" customWidth="1"/>
    <col min="6" max="6" width="18" customWidth="1"/>
    <col min="7" max="7" width="18.875" customWidth="1"/>
    <col min="8" max="8" width="10.125" customWidth="1"/>
    <col min="9" max="9" width="54.75" customWidth="1"/>
  </cols>
  <sheetData>
    <row r="2" spans="1:9" ht="29.45" customHeight="1" x14ac:dyDescent="0.3">
      <c r="A2" s="1464" t="s">
        <v>224</v>
      </c>
      <c r="B2" s="1465"/>
      <c r="C2" s="1465"/>
      <c r="D2" s="1465"/>
      <c r="E2" s="1465"/>
      <c r="F2" s="1465"/>
      <c r="G2" s="1465"/>
      <c r="H2" s="1465"/>
      <c r="I2" s="1465"/>
    </row>
    <row r="3" spans="1:9" ht="16.5" customHeight="1" x14ac:dyDescent="0.3">
      <c r="A3" s="1472" t="s">
        <v>410</v>
      </c>
      <c r="B3" s="1472"/>
      <c r="C3" s="1472"/>
      <c r="D3" s="1472"/>
      <c r="E3" s="1472"/>
      <c r="F3" s="1472"/>
      <c r="G3" s="1472"/>
      <c r="H3" s="1472"/>
      <c r="I3" s="1472"/>
    </row>
    <row r="4" spans="1:9" ht="16.5" customHeight="1" x14ac:dyDescent="0.3">
      <c r="A4" s="1472"/>
      <c r="B4" s="1472"/>
      <c r="C4" s="1472"/>
      <c r="D4" s="1472"/>
      <c r="E4" s="1472"/>
      <c r="F4" s="1472"/>
      <c r="G4" s="1472"/>
      <c r="H4" s="1472"/>
      <c r="I4" s="1472"/>
    </row>
    <row r="5" spans="1:9" ht="17.25" thickBot="1" x14ac:dyDescent="0.35">
      <c r="A5" s="1466" t="s">
        <v>129</v>
      </c>
      <c r="B5" s="1466"/>
      <c r="C5" s="1466"/>
      <c r="D5" s="1466"/>
      <c r="E5" s="1466"/>
      <c r="F5" s="1466"/>
      <c r="G5" s="1466"/>
      <c r="H5" s="1466"/>
      <c r="I5" s="1466"/>
    </row>
    <row r="6" spans="1:9" ht="17.45" customHeight="1" x14ac:dyDescent="0.3">
      <c r="A6" s="1314" t="s">
        <v>29</v>
      </c>
      <c r="B6" s="1315"/>
      <c r="C6" s="1315"/>
      <c r="D6" s="1273" t="s">
        <v>237</v>
      </c>
      <c r="E6" s="1273" t="s">
        <v>395</v>
      </c>
      <c r="F6" s="1273" t="s">
        <v>310</v>
      </c>
      <c r="G6" s="1273" t="s">
        <v>59</v>
      </c>
      <c r="H6" s="1275" t="s">
        <v>49</v>
      </c>
      <c r="I6" s="1277" t="s">
        <v>61</v>
      </c>
    </row>
    <row r="7" spans="1:9" ht="18" customHeight="1" thickBot="1" x14ac:dyDescent="0.35">
      <c r="A7" s="84" t="s">
        <v>0</v>
      </c>
      <c r="B7" s="136" t="s">
        <v>1</v>
      </c>
      <c r="C7" s="136" t="s">
        <v>2</v>
      </c>
      <c r="D7" s="1274"/>
      <c r="E7" s="1274"/>
      <c r="F7" s="1274"/>
      <c r="G7" s="1274"/>
      <c r="H7" s="1276"/>
      <c r="I7" s="1278"/>
    </row>
    <row r="8" spans="1:9" ht="20.25" customHeight="1" x14ac:dyDescent="0.3">
      <c r="A8" s="1364" t="s">
        <v>165</v>
      </c>
      <c r="B8" s="1309" t="s">
        <v>166</v>
      </c>
      <c r="C8" s="319" t="s">
        <v>147</v>
      </c>
      <c r="D8" s="236"/>
      <c r="E8" s="236"/>
      <c r="F8" s="236"/>
      <c r="G8" s="243">
        <f>F8-D8</f>
        <v>0</v>
      </c>
      <c r="H8" s="237"/>
      <c r="I8" s="293"/>
    </row>
    <row r="9" spans="1:9" ht="20.25" customHeight="1" x14ac:dyDescent="0.3">
      <c r="A9" s="1364"/>
      <c r="B9" s="1309"/>
      <c r="C9" s="320" t="s">
        <v>150</v>
      </c>
      <c r="D9" s="231"/>
      <c r="E9" s="231"/>
      <c r="F9" s="231"/>
      <c r="G9" s="243">
        <f t="shared" ref="G9:G20" si="0">F9-D9</f>
        <v>0</v>
      </c>
      <c r="H9" s="234"/>
      <c r="I9" s="294"/>
    </row>
    <row r="10" spans="1:9" ht="20.25" customHeight="1" x14ac:dyDescent="0.3">
      <c r="A10" s="1364"/>
      <c r="B10" s="1309"/>
      <c r="C10" s="320" t="s">
        <v>151</v>
      </c>
      <c r="D10" s="231"/>
      <c r="E10" s="231"/>
      <c r="F10" s="231"/>
      <c r="G10" s="243">
        <f t="shared" si="0"/>
        <v>0</v>
      </c>
      <c r="H10" s="234"/>
      <c r="I10" s="294"/>
    </row>
    <row r="11" spans="1:9" ht="20.25" customHeight="1" x14ac:dyDescent="0.3">
      <c r="A11" s="1364"/>
      <c r="B11" s="1309"/>
      <c r="C11" s="320" t="s">
        <v>152</v>
      </c>
      <c r="D11" s="231"/>
      <c r="E11" s="231"/>
      <c r="F11" s="231"/>
      <c r="G11" s="243">
        <f t="shared" si="0"/>
        <v>0</v>
      </c>
      <c r="H11" s="234"/>
      <c r="I11" s="294"/>
    </row>
    <row r="12" spans="1:9" ht="20.25" customHeight="1" x14ac:dyDescent="0.3">
      <c r="A12" s="1364"/>
      <c r="B12" s="1288"/>
      <c r="C12" s="320" t="s">
        <v>153</v>
      </c>
      <c r="D12" s="231"/>
      <c r="E12" s="231"/>
      <c r="F12" s="231"/>
      <c r="G12" s="243">
        <f t="shared" si="0"/>
        <v>0</v>
      </c>
      <c r="H12" s="234"/>
      <c r="I12" s="294"/>
    </row>
    <row r="13" spans="1:9" ht="18" thickBot="1" x14ac:dyDescent="0.35">
      <c r="A13" s="1365"/>
      <c r="B13" s="1374" t="s">
        <v>13</v>
      </c>
      <c r="C13" s="1374"/>
      <c r="D13" s="232">
        <f>SUM(D8:D12)</f>
        <v>0</v>
      </c>
      <c r="E13" s="232">
        <f t="shared" ref="E13:F13" si="1">SUM(E8:E12)</f>
        <v>0</v>
      </c>
      <c r="F13" s="232">
        <f t="shared" si="1"/>
        <v>0</v>
      </c>
      <c r="G13" s="244">
        <f t="shared" si="0"/>
        <v>0</v>
      </c>
      <c r="H13" s="235"/>
      <c r="I13" s="295"/>
    </row>
    <row r="14" spans="1:9" ht="30.75" customHeight="1" x14ac:dyDescent="0.3">
      <c r="A14" s="1401" t="s">
        <v>3</v>
      </c>
      <c r="B14" s="1309" t="s">
        <v>3</v>
      </c>
      <c r="C14" s="319" t="s">
        <v>142</v>
      </c>
      <c r="D14" s="236"/>
      <c r="E14" s="236"/>
      <c r="F14" s="236"/>
      <c r="G14" s="243">
        <f t="shared" si="0"/>
        <v>0</v>
      </c>
      <c r="H14" s="237"/>
      <c r="I14" s="296"/>
    </row>
    <row r="15" spans="1:9" ht="30" customHeight="1" x14ac:dyDescent="0.3">
      <c r="A15" s="1401"/>
      <c r="B15" s="1309"/>
      <c r="C15" s="320" t="s">
        <v>143</v>
      </c>
      <c r="D15" s="231"/>
      <c r="E15" s="231"/>
      <c r="F15" s="231"/>
      <c r="G15" s="243">
        <f t="shared" si="0"/>
        <v>0</v>
      </c>
      <c r="H15" s="234"/>
      <c r="I15" s="297"/>
    </row>
    <row r="16" spans="1:9" ht="22.5" customHeight="1" x14ac:dyDescent="0.3">
      <c r="A16" s="1401"/>
      <c r="B16" s="1309"/>
      <c r="C16" s="320" t="s">
        <v>144</v>
      </c>
      <c r="D16" s="231"/>
      <c r="E16" s="231"/>
      <c r="F16" s="231"/>
      <c r="G16" s="243">
        <f t="shared" si="0"/>
        <v>0</v>
      </c>
      <c r="H16" s="234"/>
      <c r="I16" s="297"/>
    </row>
    <row r="17" spans="1:9" ht="22.5" customHeight="1" x14ac:dyDescent="0.3">
      <c r="A17" s="1401"/>
      <c r="B17" s="1309"/>
      <c r="C17" s="320" t="s">
        <v>145</v>
      </c>
      <c r="D17" s="231"/>
      <c r="E17" s="231"/>
      <c r="F17" s="231"/>
      <c r="G17" s="243">
        <f t="shared" si="0"/>
        <v>0</v>
      </c>
      <c r="H17" s="234"/>
      <c r="I17" s="297"/>
    </row>
    <row r="18" spans="1:9" ht="22.5" customHeight="1" x14ac:dyDescent="0.3">
      <c r="A18" s="1401"/>
      <c r="B18" s="1309"/>
      <c r="C18" s="319" t="s">
        <v>146</v>
      </c>
      <c r="D18" s="231"/>
      <c r="E18" s="231"/>
      <c r="F18" s="231"/>
      <c r="G18" s="243">
        <f t="shared" si="0"/>
        <v>0</v>
      </c>
      <c r="H18" s="234"/>
      <c r="I18" s="294"/>
    </row>
    <row r="19" spans="1:9" ht="22.5" customHeight="1" x14ac:dyDescent="0.3">
      <c r="A19" s="1401"/>
      <c r="B19" s="1309"/>
      <c r="C19" s="146" t="s">
        <v>148</v>
      </c>
      <c r="D19" s="231"/>
      <c r="E19" s="231"/>
      <c r="F19" s="231"/>
      <c r="G19" s="243">
        <f t="shared" si="0"/>
        <v>0</v>
      </c>
      <c r="H19" s="234"/>
      <c r="I19" s="294"/>
    </row>
    <row r="20" spans="1:9" ht="22.5" customHeight="1" x14ac:dyDescent="0.3">
      <c r="A20" s="1401"/>
      <c r="B20" s="1309"/>
      <c r="C20" s="146" t="s">
        <v>149</v>
      </c>
      <c r="D20" s="231"/>
      <c r="E20" s="231"/>
      <c r="F20" s="231"/>
      <c r="G20" s="243">
        <f t="shared" si="0"/>
        <v>0</v>
      </c>
      <c r="H20" s="234"/>
      <c r="I20" s="294"/>
    </row>
    <row r="21" spans="1:9" ht="22.5" customHeight="1" x14ac:dyDescent="0.3">
      <c r="A21" s="1401"/>
      <c r="B21" s="1288"/>
      <c r="C21" s="146" t="s">
        <v>167</v>
      </c>
      <c r="D21" s="65"/>
      <c r="E21" s="65"/>
      <c r="F21" s="35"/>
      <c r="G21" s="36">
        <f>F21-D21</f>
        <v>0</v>
      </c>
      <c r="H21" s="130"/>
      <c r="I21" s="37"/>
    </row>
    <row r="22" spans="1:9" ht="17.25" thickBot="1" x14ac:dyDescent="0.35">
      <c r="A22" s="1460"/>
      <c r="B22" s="1403" t="s">
        <v>13</v>
      </c>
      <c r="C22" s="1404"/>
      <c r="D22" s="40">
        <f>SUM(D14:D21)</f>
        <v>0</v>
      </c>
      <c r="E22" s="40">
        <f t="shared" ref="E22:F22" si="2">SUM(E14:E21)</f>
        <v>0</v>
      </c>
      <c r="F22" s="40">
        <f t="shared" si="2"/>
        <v>0</v>
      </c>
      <c r="G22" s="133">
        <f t="shared" ref="G22:G48" si="3">F22-D22</f>
        <v>0</v>
      </c>
      <c r="H22" s="134"/>
      <c r="I22" s="41"/>
    </row>
    <row r="23" spans="1:9" ht="17.25" customHeight="1" x14ac:dyDescent="0.3">
      <c r="A23" s="1371" t="s">
        <v>159</v>
      </c>
      <c r="B23" s="1308" t="s">
        <v>159</v>
      </c>
      <c r="C23" s="147" t="s">
        <v>113</v>
      </c>
      <c r="D23" s="70"/>
      <c r="E23" s="70"/>
      <c r="F23" s="71"/>
      <c r="G23" s="160">
        <f t="shared" si="3"/>
        <v>0</v>
      </c>
      <c r="H23" s="163"/>
      <c r="I23" s="79"/>
    </row>
    <row r="24" spans="1:9" ht="17.25" customHeight="1" x14ac:dyDescent="0.3">
      <c r="A24" s="1372"/>
      <c r="B24" s="1309"/>
      <c r="C24" s="320" t="s">
        <v>63</v>
      </c>
      <c r="D24" s="44">
        <v>149979000</v>
      </c>
      <c r="E24" s="913">
        <v>145430000</v>
      </c>
      <c r="F24" s="884">
        <v>145430000</v>
      </c>
      <c r="G24" s="600">
        <f t="shared" si="3"/>
        <v>-4549000</v>
      </c>
      <c r="H24" s="164">
        <f>G24/D24*100%</f>
        <v>-3.0330912994485894E-2</v>
      </c>
      <c r="I24" s="80"/>
    </row>
    <row r="25" spans="1:9" ht="17.25" customHeight="1" x14ac:dyDescent="0.3">
      <c r="A25" s="1372"/>
      <c r="B25" s="1309"/>
      <c r="C25" s="320" t="s">
        <v>30</v>
      </c>
      <c r="D25" s="44"/>
      <c r="E25" s="44"/>
      <c r="F25" s="66"/>
      <c r="G25" s="161">
        <f t="shared" si="3"/>
        <v>0</v>
      </c>
      <c r="H25" s="164"/>
      <c r="I25" s="80"/>
    </row>
    <row r="26" spans="1:9" ht="17.25" customHeight="1" x14ac:dyDescent="0.3">
      <c r="A26" s="1372"/>
      <c r="B26" s="1288"/>
      <c r="C26" s="320" t="s">
        <v>64</v>
      </c>
      <c r="D26" s="44"/>
      <c r="E26" s="44"/>
      <c r="F26" s="66"/>
      <c r="G26" s="161">
        <f t="shared" si="3"/>
        <v>0</v>
      </c>
      <c r="H26" s="164"/>
      <c r="I26" s="80"/>
    </row>
    <row r="27" spans="1:9" ht="17.25" thickBot="1" x14ac:dyDescent="0.35">
      <c r="A27" s="1373"/>
      <c r="B27" s="1368" t="s">
        <v>13</v>
      </c>
      <c r="C27" s="1394"/>
      <c r="D27" s="519">
        <f>SUM(D23:D26)</f>
        <v>149979000</v>
      </c>
      <c r="E27" s="519">
        <f t="shared" ref="E27:F27" si="4">SUM(E23:E26)</f>
        <v>145430000</v>
      </c>
      <c r="F27" s="519">
        <f t="shared" si="4"/>
        <v>145430000</v>
      </c>
      <c r="G27" s="749">
        <f t="shared" si="3"/>
        <v>-4549000</v>
      </c>
      <c r="H27" s="650">
        <f>G27/D27*100%</f>
        <v>-3.0330912994485894E-2</v>
      </c>
      <c r="I27" s="81"/>
    </row>
    <row r="28" spans="1:9" ht="21" customHeight="1" x14ac:dyDescent="0.3">
      <c r="A28" s="1325" t="s">
        <v>161</v>
      </c>
      <c r="B28" s="1288" t="s">
        <v>161</v>
      </c>
      <c r="C28" s="151" t="s">
        <v>6</v>
      </c>
      <c r="D28" s="885">
        <v>392700</v>
      </c>
      <c r="E28" s="914">
        <v>392712</v>
      </c>
      <c r="F28" s="885">
        <v>393700</v>
      </c>
      <c r="G28" s="36">
        <f t="shared" si="3"/>
        <v>1000</v>
      </c>
      <c r="H28" s="130">
        <f>G28/D28*100%</f>
        <v>2.5464731347084289E-3</v>
      </c>
      <c r="I28" s="82"/>
    </row>
    <row r="29" spans="1:9" ht="21" customHeight="1" x14ac:dyDescent="0.3">
      <c r="A29" s="1326"/>
      <c r="B29" s="1289"/>
      <c r="C29" s="151" t="s">
        <v>7</v>
      </c>
      <c r="D29" s="65"/>
      <c r="E29" s="65"/>
      <c r="F29" s="36"/>
      <c r="G29" s="36">
        <f t="shared" si="3"/>
        <v>0</v>
      </c>
      <c r="H29" s="130"/>
      <c r="I29" s="37"/>
    </row>
    <row r="30" spans="1:9" ht="17.25" thickBot="1" x14ac:dyDescent="0.35">
      <c r="A30" s="1327"/>
      <c r="B30" s="1374" t="s">
        <v>13</v>
      </c>
      <c r="C30" s="1374"/>
      <c r="D30" s="539">
        <f>SUM(D28:D29)</f>
        <v>392700</v>
      </c>
      <c r="E30" s="539">
        <f t="shared" ref="E30:F30" si="5">SUM(E28:E29)</f>
        <v>392712</v>
      </c>
      <c r="F30" s="601">
        <f t="shared" si="5"/>
        <v>393700</v>
      </c>
      <c r="G30" s="601">
        <f t="shared" si="3"/>
        <v>1000</v>
      </c>
      <c r="H30" s="572">
        <f>G30/D30*100%</f>
        <v>2.5464731347084289E-3</v>
      </c>
      <c r="I30" s="42"/>
    </row>
    <row r="31" spans="1:9" ht="19.5" customHeight="1" x14ac:dyDescent="0.3">
      <c r="A31" s="1370" t="s">
        <v>163</v>
      </c>
      <c r="B31" s="1308" t="s">
        <v>163</v>
      </c>
      <c r="C31" s="147" t="s">
        <v>154</v>
      </c>
      <c r="D31" s="71"/>
      <c r="E31" s="71"/>
      <c r="F31" s="69"/>
      <c r="G31" s="69">
        <f t="shared" si="3"/>
        <v>0</v>
      </c>
      <c r="H31" s="222"/>
      <c r="I31" s="79"/>
    </row>
    <row r="32" spans="1:9" ht="19.5" customHeight="1" x14ac:dyDescent="0.3">
      <c r="A32" s="1364"/>
      <c r="B32" s="1288"/>
      <c r="C32" s="320" t="s">
        <v>155</v>
      </c>
      <c r="D32" s="66"/>
      <c r="E32" s="66"/>
      <c r="F32" s="66"/>
      <c r="G32" s="66">
        <f t="shared" si="3"/>
        <v>0</v>
      </c>
      <c r="H32" s="218"/>
      <c r="I32" s="83"/>
    </row>
    <row r="33" spans="1:9" ht="17.25" thickBot="1" x14ac:dyDescent="0.35">
      <c r="A33" s="1365"/>
      <c r="B33" s="321"/>
      <c r="C33" s="321" t="s">
        <v>13</v>
      </c>
      <c r="D33" s="73">
        <f>SUM(D31:D32)</f>
        <v>0</v>
      </c>
      <c r="E33" s="73">
        <f t="shared" ref="E33:F33" si="6">SUM(E31:E32)</f>
        <v>0</v>
      </c>
      <c r="F33" s="73">
        <f t="shared" si="6"/>
        <v>0</v>
      </c>
      <c r="G33" s="40">
        <f t="shared" si="3"/>
        <v>0</v>
      </c>
      <c r="H33" s="233"/>
      <c r="I33" s="81"/>
    </row>
    <row r="34" spans="1:9" ht="29.25" customHeight="1" x14ac:dyDescent="0.3">
      <c r="A34" s="326"/>
      <c r="B34" s="1309" t="s">
        <v>4</v>
      </c>
      <c r="C34" s="319" t="s">
        <v>183</v>
      </c>
      <c r="D34" s="69"/>
      <c r="E34" s="69"/>
      <c r="F34" s="69"/>
      <c r="G34" s="450">
        <f t="shared" si="3"/>
        <v>0</v>
      </c>
      <c r="H34" s="651"/>
      <c r="I34" s="240"/>
    </row>
    <row r="35" spans="1:9" ht="29.25" customHeight="1" x14ac:dyDescent="0.3">
      <c r="A35" s="1303" t="s">
        <v>4</v>
      </c>
      <c r="B35" s="1288"/>
      <c r="C35" s="146" t="s">
        <v>184</v>
      </c>
      <c r="D35" s="66"/>
      <c r="E35" s="66"/>
      <c r="F35" s="44"/>
      <c r="G35" s="69">
        <f t="shared" si="3"/>
        <v>0</v>
      </c>
      <c r="H35" s="222"/>
      <c r="I35" s="83"/>
    </row>
    <row r="36" spans="1:9" ht="17.25" thickBot="1" x14ac:dyDescent="0.35">
      <c r="A36" s="1304"/>
      <c r="B36" s="1399" t="s">
        <v>13</v>
      </c>
      <c r="C36" s="1400"/>
      <c r="D36" s="241">
        <f>SUM(D34:D35)</f>
        <v>0</v>
      </c>
      <c r="E36" s="241">
        <f t="shared" ref="E36:F36" si="7">SUM(E34:E35)</f>
        <v>0</v>
      </c>
      <c r="F36" s="241">
        <f t="shared" si="7"/>
        <v>0</v>
      </c>
      <c r="G36" s="158">
        <f t="shared" si="3"/>
        <v>0</v>
      </c>
      <c r="H36" s="166"/>
      <c r="I36" s="42"/>
    </row>
    <row r="37" spans="1:9" ht="26.25" customHeight="1" x14ac:dyDescent="0.3">
      <c r="A37" s="1302" t="s">
        <v>170</v>
      </c>
      <c r="B37" s="1308" t="s">
        <v>170</v>
      </c>
      <c r="C37" s="149" t="s">
        <v>9</v>
      </c>
      <c r="D37" s="68">
        <v>5414513</v>
      </c>
      <c r="E37" s="915">
        <v>5414513</v>
      </c>
      <c r="F37" s="43">
        <v>5414513</v>
      </c>
      <c r="G37" s="36">
        <f t="shared" si="3"/>
        <v>0</v>
      </c>
      <c r="H37" s="130">
        <f t="shared" ref="H37" si="8">G37/D37*100</f>
        <v>0</v>
      </c>
      <c r="I37" s="74"/>
    </row>
    <row r="38" spans="1:9" ht="26.25" customHeight="1" x14ac:dyDescent="0.3">
      <c r="A38" s="1303"/>
      <c r="B38" s="1288"/>
      <c r="C38" s="624" t="s">
        <v>174</v>
      </c>
      <c r="D38" s="75"/>
      <c r="E38" s="75"/>
      <c r="F38" s="133"/>
      <c r="G38" s="36">
        <f t="shared" si="3"/>
        <v>0</v>
      </c>
      <c r="H38" s="134"/>
      <c r="I38" s="239"/>
    </row>
    <row r="39" spans="1:9" ht="17.25" thickBot="1" x14ac:dyDescent="0.35">
      <c r="A39" s="1304"/>
      <c r="B39" s="1312" t="s">
        <v>13</v>
      </c>
      <c r="C39" s="1313"/>
      <c r="D39" s="519">
        <f>SUM(D37:D38)</f>
        <v>5414513</v>
      </c>
      <c r="E39" s="519">
        <f t="shared" ref="E39:F39" si="9">SUM(E37:E38)</f>
        <v>5414513</v>
      </c>
      <c r="F39" s="519">
        <f t="shared" si="9"/>
        <v>5414513</v>
      </c>
      <c r="G39" s="520">
        <f t="shared" si="3"/>
        <v>0</v>
      </c>
      <c r="H39" s="653">
        <f t="shared" ref="H39:H47" si="10">G39/D39*100</f>
        <v>0</v>
      </c>
      <c r="I39" s="81"/>
    </row>
    <row r="40" spans="1:9" ht="18" customHeight="1" x14ac:dyDescent="0.3">
      <c r="A40" s="1456" t="s">
        <v>172</v>
      </c>
      <c r="B40" s="1323" t="s">
        <v>172</v>
      </c>
      <c r="C40" s="617" t="s">
        <v>349</v>
      </c>
      <c r="D40" s="71"/>
      <c r="E40" s="71"/>
      <c r="F40" s="70"/>
      <c r="G40" s="155">
        <f t="shared" si="3"/>
        <v>0</v>
      </c>
      <c r="H40" s="455"/>
      <c r="I40" s="79"/>
    </row>
    <row r="41" spans="1:9" ht="18" customHeight="1" x14ac:dyDescent="0.3">
      <c r="A41" s="1473"/>
      <c r="B41" s="1288"/>
      <c r="C41" s="618" t="s">
        <v>173</v>
      </c>
      <c r="D41" s="884">
        <v>19787</v>
      </c>
      <c r="E41" s="916">
        <v>2131</v>
      </c>
      <c r="F41" s="44">
        <v>19787</v>
      </c>
      <c r="G41" s="36">
        <f t="shared" si="3"/>
        <v>0</v>
      </c>
      <c r="H41" s="218">
        <f t="shared" si="10"/>
        <v>0</v>
      </c>
      <c r="I41" s="240"/>
    </row>
    <row r="42" spans="1:9" ht="18" customHeight="1" x14ac:dyDescent="0.3">
      <c r="A42" s="1457"/>
      <c r="B42" s="1289"/>
      <c r="C42" s="619" t="s">
        <v>175</v>
      </c>
      <c r="D42" s="66"/>
      <c r="E42" s="66"/>
      <c r="F42" s="44"/>
      <c r="G42" s="36">
        <f t="shared" si="3"/>
        <v>0</v>
      </c>
      <c r="H42" s="218"/>
      <c r="I42" s="83"/>
    </row>
    <row r="43" spans="1:9" ht="18" customHeight="1" x14ac:dyDescent="0.3">
      <c r="A43" s="1457"/>
      <c r="B43" s="1289"/>
      <c r="C43" s="619" t="s">
        <v>10</v>
      </c>
      <c r="D43" s="66"/>
      <c r="E43" s="66"/>
      <c r="F43" s="44"/>
      <c r="G43" s="36">
        <f t="shared" si="3"/>
        <v>0</v>
      </c>
      <c r="H43" s="218"/>
      <c r="I43" s="83"/>
    </row>
    <row r="44" spans="1:9" ht="17.25" thickBot="1" x14ac:dyDescent="0.35">
      <c r="A44" s="1458"/>
      <c r="B44" s="1374" t="s">
        <v>13</v>
      </c>
      <c r="C44" s="1374"/>
      <c r="D44" s="519">
        <f>SUM(D40:D43)</f>
        <v>19787</v>
      </c>
      <c r="E44" s="519">
        <f t="shared" ref="E44:F44" si="11">SUM(E40:E43)</f>
        <v>2131</v>
      </c>
      <c r="F44" s="519">
        <f t="shared" si="11"/>
        <v>19787</v>
      </c>
      <c r="G44" s="520">
        <f t="shared" si="3"/>
        <v>0</v>
      </c>
      <c r="H44" s="653">
        <f t="shared" si="10"/>
        <v>0</v>
      </c>
      <c r="I44" s="81"/>
    </row>
    <row r="45" spans="1:9" ht="24.75" customHeight="1" x14ac:dyDescent="0.3">
      <c r="A45" s="1325" t="s">
        <v>176</v>
      </c>
      <c r="B45" s="1288" t="s">
        <v>177</v>
      </c>
      <c r="C45" s="618" t="s">
        <v>178</v>
      </c>
      <c r="D45" s="69"/>
      <c r="E45" s="69"/>
      <c r="F45" s="221"/>
      <c r="G45" s="36">
        <f t="shared" si="3"/>
        <v>0</v>
      </c>
      <c r="H45" s="222" t="e">
        <f t="shared" si="10"/>
        <v>#DIV/0!</v>
      </c>
      <c r="I45" s="240"/>
    </row>
    <row r="46" spans="1:9" ht="24.75" customHeight="1" x14ac:dyDescent="0.3">
      <c r="A46" s="1326"/>
      <c r="B46" s="1289"/>
      <c r="C46" s="320" t="s">
        <v>179</v>
      </c>
      <c r="D46" s="66"/>
      <c r="E46" s="66"/>
      <c r="F46" s="44"/>
      <c r="G46" s="36">
        <f t="shared" si="3"/>
        <v>0</v>
      </c>
      <c r="H46" s="218" t="e">
        <f t="shared" si="10"/>
        <v>#DIV/0!</v>
      </c>
      <c r="I46" s="83"/>
    </row>
    <row r="47" spans="1:9" ht="17.25" thickBot="1" x14ac:dyDescent="0.35">
      <c r="A47" s="1459"/>
      <c r="B47" s="1390" t="s">
        <v>13</v>
      </c>
      <c r="C47" s="1390"/>
      <c r="D47" s="131">
        <f>SUM(D45:D46)</f>
        <v>0</v>
      </c>
      <c r="E47" s="131">
        <f t="shared" ref="E47:F47" si="12">SUM(E45:E46)</f>
        <v>0</v>
      </c>
      <c r="F47" s="131">
        <f t="shared" si="12"/>
        <v>0</v>
      </c>
      <c r="G47" s="133">
        <f t="shared" si="3"/>
        <v>0</v>
      </c>
      <c r="H47" s="134" t="e">
        <f t="shared" si="10"/>
        <v>#DIV/0!</v>
      </c>
      <c r="I47" s="135"/>
    </row>
    <row r="48" spans="1:9" ht="17.25" thickBot="1" x14ac:dyDescent="0.35">
      <c r="A48" s="1391" t="s">
        <v>41</v>
      </c>
      <c r="B48" s="1392"/>
      <c r="C48" s="1393"/>
      <c r="D48" s="302">
        <f>SUM(D22,D27,D30,D36,D39,D44,D47)</f>
        <v>155806000</v>
      </c>
      <c r="E48" s="302">
        <f t="shared" ref="E48:F48" si="13">SUM(E22,E27,E30,E36,E39,E44,E47)</f>
        <v>151239356</v>
      </c>
      <c r="F48" s="302">
        <f t="shared" si="13"/>
        <v>151258000</v>
      </c>
      <c r="G48" s="606">
        <f t="shared" si="3"/>
        <v>-4548000</v>
      </c>
      <c r="H48" s="523">
        <f>G48/D48*100%</f>
        <v>-2.9190146720922173E-2</v>
      </c>
      <c r="I48" s="78"/>
    </row>
    <row r="49" spans="1:9" ht="17.25" thickBot="1" x14ac:dyDescent="0.35">
      <c r="A49" s="1475" t="s">
        <v>66</v>
      </c>
      <c r="B49" s="1340"/>
      <c r="C49" s="1340"/>
      <c r="D49" s="1340"/>
      <c r="E49" s="1340"/>
      <c r="F49" s="1340"/>
      <c r="G49" s="1340"/>
      <c r="H49" s="1340"/>
      <c r="I49" s="1476"/>
    </row>
    <row r="50" spans="1:9" ht="17.45" customHeight="1" x14ac:dyDescent="0.3">
      <c r="A50" s="1314" t="s">
        <v>29</v>
      </c>
      <c r="B50" s="1315"/>
      <c r="C50" s="1315"/>
      <c r="D50" s="1273" t="s">
        <v>237</v>
      </c>
      <c r="E50" s="1273" t="s">
        <v>395</v>
      </c>
      <c r="F50" s="1273" t="s">
        <v>318</v>
      </c>
      <c r="G50" s="1273" t="s">
        <v>59</v>
      </c>
      <c r="H50" s="1275" t="s">
        <v>49</v>
      </c>
      <c r="I50" s="1277" t="s">
        <v>61</v>
      </c>
    </row>
    <row r="51" spans="1:9" ht="18" customHeight="1" thickBot="1" x14ac:dyDescent="0.35">
      <c r="A51" s="84" t="s">
        <v>0</v>
      </c>
      <c r="B51" s="136" t="s">
        <v>1</v>
      </c>
      <c r="C51" s="136" t="s">
        <v>2</v>
      </c>
      <c r="D51" s="1274"/>
      <c r="E51" s="1274"/>
      <c r="F51" s="1274"/>
      <c r="G51" s="1274"/>
      <c r="H51" s="1276"/>
      <c r="I51" s="1278"/>
    </row>
    <row r="52" spans="1:9" x14ac:dyDescent="0.3">
      <c r="A52" s="159" t="s">
        <v>185</v>
      </c>
      <c r="B52" s="1323" t="s">
        <v>186</v>
      </c>
      <c r="C52" s="536" t="s">
        <v>17</v>
      </c>
      <c r="D52" s="35">
        <v>94753300</v>
      </c>
      <c r="E52" s="917">
        <v>86723400</v>
      </c>
      <c r="F52" s="35">
        <v>94753300</v>
      </c>
      <c r="G52" s="155">
        <f>F52-D52</f>
        <v>0</v>
      </c>
      <c r="H52" s="453">
        <f>G52/D52*100</f>
        <v>0</v>
      </c>
      <c r="I52" s="544"/>
    </row>
    <row r="53" spans="1:9" x14ac:dyDescent="0.3">
      <c r="A53" s="64"/>
      <c r="B53" s="1289"/>
      <c r="C53" s="150" t="s">
        <v>32</v>
      </c>
      <c r="D53" s="35">
        <v>13983230</v>
      </c>
      <c r="E53" s="917">
        <v>13519490</v>
      </c>
      <c r="F53" s="35">
        <v>13983230</v>
      </c>
      <c r="G53" s="36">
        <f t="shared" ref="G53:G57" si="14">F53-D53</f>
        <v>0</v>
      </c>
      <c r="H53" s="130">
        <f t="shared" ref="H53:H57" si="15">G53/D53*100</f>
        <v>0</v>
      </c>
      <c r="I53" s="37"/>
    </row>
    <row r="54" spans="1:9" x14ac:dyDescent="0.3">
      <c r="A54" s="64"/>
      <c r="B54" s="1289"/>
      <c r="C54" s="150" t="s">
        <v>180</v>
      </c>
      <c r="D54" s="36"/>
      <c r="E54" s="918"/>
      <c r="F54" s="35"/>
      <c r="G54" s="36">
        <f t="shared" si="14"/>
        <v>0</v>
      </c>
      <c r="H54" s="130"/>
      <c r="I54" s="37"/>
    </row>
    <row r="55" spans="1:9" ht="20.25" customHeight="1" x14ac:dyDescent="0.3">
      <c r="A55" s="64"/>
      <c r="B55" s="1289"/>
      <c r="C55" s="150" t="s">
        <v>84</v>
      </c>
      <c r="D55" s="35">
        <v>9061900</v>
      </c>
      <c r="E55" s="917">
        <v>8353720</v>
      </c>
      <c r="F55" s="35">
        <v>9061900</v>
      </c>
      <c r="G55" s="36">
        <f t="shared" si="14"/>
        <v>0</v>
      </c>
      <c r="H55" s="130">
        <f t="shared" si="15"/>
        <v>0</v>
      </c>
      <c r="I55" s="37"/>
    </row>
    <row r="56" spans="1:9" ht="20.25" customHeight="1" x14ac:dyDescent="0.3">
      <c r="A56" s="64"/>
      <c r="B56" s="1289"/>
      <c r="C56" s="150" t="s">
        <v>33</v>
      </c>
      <c r="D56" s="35">
        <v>10740000</v>
      </c>
      <c r="E56" s="917">
        <v>9241930</v>
      </c>
      <c r="F56" s="35">
        <v>10100000</v>
      </c>
      <c r="G56" s="35">
        <f t="shared" si="14"/>
        <v>-640000</v>
      </c>
      <c r="H56" s="130">
        <f>G56/D56*100%</f>
        <v>-5.9590316573556797E-2</v>
      </c>
      <c r="I56" s="37"/>
    </row>
    <row r="57" spans="1:9" ht="20.25" customHeight="1" x14ac:dyDescent="0.3">
      <c r="A57" s="64"/>
      <c r="B57" s="1289"/>
      <c r="C57" s="150" t="s">
        <v>18</v>
      </c>
      <c r="D57" s="35">
        <v>300000</v>
      </c>
      <c r="E57" s="917">
        <v>300000</v>
      </c>
      <c r="F57" s="35">
        <v>300000</v>
      </c>
      <c r="G57" s="36">
        <f t="shared" si="14"/>
        <v>0</v>
      </c>
      <c r="H57" s="130">
        <f t="shared" si="15"/>
        <v>0</v>
      </c>
      <c r="I57" s="37"/>
    </row>
    <row r="58" spans="1:9" ht="17.25" thickBot="1" x14ac:dyDescent="0.35">
      <c r="A58" s="64"/>
      <c r="B58" s="1324"/>
      <c r="C58" s="655" t="s">
        <v>305</v>
      </c>
      <c r="D58" s="539">
        <f>SUM(D52:D57)</f>
        <v>128838430</v>
      </c>
      <c r="E58" s="539">
        <f t="shared" ref="E58:F58" si="16">SUM(E52:E57)</f>
        <v>118138540</v>
      </c>
      <c r="F58" s="539">
        <f t="shared" si="16"/>
        <v>128198430</v>
      </c>
      <c r="G58" s="605">
        <f t="shared" ref="G58:G112" si="17">F58-D58</f>
        <v>-640000</v>
      </c>
      <c r="H58" s="577">
        <f>G58/D58*100%</f>
        <v>-4.9674619599136688E-3</v>
      </c>
      <c r="I58" s="41"/>
    </row>
    <row r="59" spans="1:9" ht="14.25" customHeight="1" x14ac:dyDescent="0.3">
      <c r="A59" s="64"/>
      <c r="B59" s="1323" t="s">
        <v>90</v>
      </c>
      <c r="C59" s="149" t="s">
        <v>19</v>
      </c>
      <c r="D59" s="541"/>
      <c r="E59" s="43"/>
      <c r="F59" s="43"/>
      <c r="G59" s="155">
        <f t="shared" si="17"/>
        <v>0</v>
      </c>
      <c r="H59" s="453"/>
      <c r="I59" s="544"/>
    </row>
    <row r="60" spans="1:9" ht="14.25" customHeight="1" x14ac:dyDescent="0.3">
      <c r="A60" s="64"/>
      <c r="B60" s="1289"/>
      <c r="C60" s="219" t="s">
        <v>182</v>
      </c>
      <c r="D60" s="35"/>
      <c r="E60" s="35"/>
      <c r="F60" s="35"/>
      <c r="G60" s="36">
        <f t="shared" si="17"/>
        <v>0</v>
      </c>
      <c r="H60" s="130"/>
      <c r="I60" s="37"/>
    </row>
    <row r="61" spans="1:9" x14ac:dyDescent="0.3">
      <c r="A61" s="64"/>
      <c r="B61" s="1289"/>
      <c r="C61" s="150" t="s">
        <v>20</v>
      </c>
      <c r="D61" s="35"/>
      <c r="E61" s="35"/>
      <c r="F61" s="35"/>
      <c r="G61" s="36">
        <f t="shared" si="17"/>
        <v>0</v>
      </c>
      <c r="H61" s="130"/>
      <c r="I61" s="37"/>
    </row>
    <row r="62" spans="1:9" ht="17.25" thickBot="1" x14ac:dyDescent="0.35">
      <c r="A62" s="64"/>
      <c r="B62" s="1324"/>
      <c r="C62" s="538" t="s">
        <v>306</v>
      </c>
      <c r="D62" s="67">
        <f>SUM(D59:D61)</f>
        <v>0</v>
      </c>
      <c r="E62" s="67">
        <f t="shared" ref="E62:F62" si="18">SUM(E59:E61)</f>
        <v>0</v>
      </c>
      <c r="F62" s="67">
        <f t="shared" si="18"/>
        <v>0</v>
      </c>
      <c r="G62" s="40">
        <f t="shared" si="17"/>
        <v>0</v>
      </c>
      <c r="H62" s="233"/>
      <c r="I62" s="41"/>
    </row>
    <row r="63" spans="1:9" x14ac:dyDescent="0.3">
      <c r="A63" s="64"/>
      <c r="B63" s="1288" t="s">
        <v>131</v>
      </c>
      <c r="C63" s="219" t="s">
        <v>21</v>
      </c>
      <c r="D63" s="36">
        <v>300000</v>
      </c>
      <c r="E63" s="919">
        <v>250000</v>
      </c>
      <c r="F63" s="35">
        <v>250000</v>
      </c>
      <c r="G63" s="35">
        <f t="shared" si="17"/>
        <v>-50000</v>
      </c>
      <c r="H63" s="130">
        <f>G63/D63*100%</f>
        <v>-0.16666666666666666</v>
      </c>
      <c r="I63" s="37"/>
    </row>
    <row r="64" spans="1:9" ht="18.75" customHeight="1" x14ac:dyDescent="0.3">
      <c r="A64" s="64"/>
      <c r="B64" s="1289"/>
      <c r="C64" s="150" t="s">
        <v>34</v>
      </c>
      <c r="D64" s="206">
        <v>540000</v>
      </c>
      <c r="E64" s="920">
        <v>518051</v>
      </c>
      <c r="F64" s="77">
        <v>565681</v>
      </c>
      <c r="G64" s="36">
        <f t="shared" si="17"/>
        <v>25681</v>
      </c>
      <c r="H64" s="130">
        <f t="shared" ref="H64:H67" si="19">G64/D64*100%</f>
        <v>4.7557407407407409E-2</v>
      </c>
      <c r="I64" s="37"/>
    </row>
    <row r="65" spans="1:9" x14ac:dyDescent="0.3">
      <c r="A65" s="64"/>
      <c r="B65" s="1289"/>
      <c r="C65" s="150" t="s">
        <v>23</v>
      </c>
      <c r="D65" s="206">
        <v>700000</v>
      </c>
      <c r="E65" s="913">
        <v>747880</v>
      </c>
      <c r="F65" s="77">
        <v>811000</v>
      </c>
      <c r="G65" s="36">
        <f t="shared" si="17"/>
        <v>111000</v>
      </c>
      <c r="H65" s="130">
        <f t="shared" si="19"/>
        <v>0.15857142857142856</v>
      </c>
      <c r="I65" s="37"/>
    </row>
    <row r="66" spans="1:9" ht="18.75" customHeight="1" x14ac:dyDescent="0.3">
      <c r="A66" s="64"/>
      <c r="B66" s="1289"/>
      <c r="C66" s="150" t="s">
        <v>24</v>
      </c>
      <c r="D66" s="206">
        <v>2300000</v>
      </c>
      <c r="E66" s="913">
        <v>2214030</v>
      </c>
      <c r="F66" s="77">
        <v>2214030</v>
      </c>
      <c r="G66" s="35">
        <f t="shared" si="17"/>
        <v>-85970</v>
      </c>
      <c r="H66" s="130">
        <f t="shared" si="19"/>
        <v>-3.7378260869565215E-2</v>
      </c>
      <c r="I66" s="37"/>
    </row>
    <row r="67" spans="1:9" x14ac:dyDescent="0.3">
      <c r="A67" s="99"/>
      <c r="B67" s="1289"/>
      <c r="C67" s="150" t="s">
        <v>35</v>
      </c>
      <c r="D67" s="207">
        <v>1080000</v>
      </c>
      <c r="E67" s="920">
        <v>1174720</v>
      </c>
      <c r="F67" s="156">
        <v>1172549</v>
      </c>
      <c r="G67" s="133">
        <f t="shared" si="17"/>
        <v>92549</v>
      </c>
      <c r="H67" s="130">
        <f t="shared" si="19"/>
        <v>8.5693518518518516E-2</v>
      </c>
      <c r="I67" s="76"/>
    </row>
    <row r="68" spans="1:9" x14ac:dyDescent="0.3">
      <c r="A68" s="99"/>
      <c r="B68" s="1289"/>
      <c r="C68" s="146" t="s">
        <v>86</v>
      </c>
      <c r="D68" s="44"/>
      <c r="E68" s="913"/>
      <c r="F68" s="44"/>
      <c r="G68" s="66">
        <f t="shared" si="17"/>
        <v>0</v>
      </c>
      <c r="H68" s="218"/>
      <c r="I68" s="83"/>
    </row>
    <row r="69" spans="1:9" ht="18.75" customHeight="1" x14ac:dyDescent="0.3">
      <c r="A69" s="99"/>
      <c r="B69" s="1289"/>
      <c r="C69" s="146" t="s">
        <v>36</v>
      </c>
      <c r="D69" s="44">
        <v>2080000</v>
      </c>
      <c r="E69" s="913">
        <v>1987740</v>
      </c>
      <c r="F69" s="44">
        <v>1987740</v>
      </c>
      <c r="G69" s="44">
        <f t="shared" si="17"/>
        <v>-92260</v>
      </c>
      <c r="H69" s="218">
        <f>G69/D69*100%</f>
        <v>-4.4355769230769233E-2</v>
      </c>
      <c r="I69" s="83"/>
    </row>
    <row r="70" spans="1:9" x14ac:dyDescent="0.3">
      <c r="A70" s="99"/>
      <c r="B70" s="1289"/>
      <c r="C70" s="242" t="s">
        <v>307</v>
      </c>
      <c r="D70" s="300">
        <f>SUM(D63:D69)</f>
        <v>7000000</v>
      </c>
      <c r="E70" s="921">
        <f t="shared" ref="E70:F70" si="20">SUM(E63:E69)</f>
        <v>6892421</v>
      </c>
      <c r="F70" s="300">
        <f t="shared" si="20"/>
        <v>7001000</v>
      </c>
      <c r="G70" s="36">
        <f t="shared" si="17"/>
        <v>1000</v>
      </c>
      <c r="H70" s="130">
        <f>G70/D70*100%</f>
        <v>1.4285714285714287E-4</v>
      </c>
      <c r="I70" s="37"/>
    </row>
    <row r="71" spans="1:9" ht="17.25" thickBot="1" x14ac:dyDescent="0.35">
      <c r="A71" s="137" t="s">
        <v>123</v>
      </c>
      <c r="B71" s="1477" t="s">
        <v>13</v>
      </c>
      <c r="C71" s="1478"/>
      <c r="D71" s="582">
        <f>SUM(D58,D62,D70)</f>
        <v>135838430</v>
      </c>
      <c r="E71" s="611">
        <f t="shared" ref="E71:F71" si="21">SUM(E58,E62,E70)</f>
        <v>125030961</v>
      </c>
      <c r="F71" s="582">
        <f t="shared" si="21"/>
        <v>135199430</v>
      </c>
      <c r="G71" s="605">
        <f t="shared" si="17"/>
        <v>-639000</v>
      </c>
      <c r="H71" s="656">
        <f>G71/D71*100%</f>
        <v>-4.7041179730949482E-3</v>
      </c>
      <c r="I71" s="41"/>
    </row>
    <row r="72" spans="1:9" ht="21.75" customHeight="1" x14ac:dyDescent="0.3">
      <c r="A72" s="1325" t="s">
        <v>189</v>
      </c>
      <c r="B72" s="1288" t="s">
        <v>42</v>
      </c>
      <c r="C72" s="151" t="s">
        <v>11</v>
      </c>
      <c r="D72" s="208"/>
      <c r="E72" s="224"/>
      <c r="F72" s="154"/>
      <c r="G72" s="583">
        <f t="shared" si="17"/>
        <v>0</v>
      </c>
      <c r="H72" s="657"/>
      <c r="I72" s="37"/>
    </row>
    <row r="73" spans="1:9" ht="21.75" customHeight="1" x14ac:dyDescent="0.3">
      <c r="A73" s="1325"/>
      <c r="B73" s="1288"/>
      <c r="C73" s="480" t="s">
        <v>336</v>
      </c>
      <c r="D73" s="547"/>
      <c r="E73" s="224"/>
      <c r="F73" s="548"/>
      <c r="G73" s="36">
        <f t="shared" si="17"/>
        <v>0</v>
      </c>
      <c r="H73" s="167"/>
      <c r="I73" s="37"/>
    </row>
    <row r="74" spans="1:9" ht="21.75" customHeight="1" x14ac:dyDescent="0.3">
      <c r="A74" s="1326"/>
      <c r="B74" s="1289"/>
      <c r="C74" s="146" t="s">
        <v>37</v>
      </c>
      <c r="D74" s="209"/>
      <c r="E74" s="44"/>
      <c r="F74" s="77"/>
      <c r="G74" s="36">
        <f t="shared" si="17"/>
        <v>0</v>
      </c>
      <c r="H74" s="167"/>
      <c r="I74" s="37"/>
    </row>
    <row r="75" spans="1:9" ht="17.25" thickBot="1" x14ac:dyDescent="0.35">
      <c r="A75" s="1327"/>
      <c r="B75" s="1300" t="s">
        <v>13</v>
      </c>
      <c r="C75" s="1301"/>
      <c r="D75" s="210">
        <f>SUM(D72:D74)</f>
        <v>0</v>
      </c>
      <c r="E75" s="210">
        <f t="shared" ref="E75:F75" si="22">SUM(E72:E74)</f>
        <v>0</v>
      </c>
      <c r="F75" s="210">
        <f t="shared" si="22"/>
        <v>0</v>
      </c>
      <c r="G75" s="40">
        <f t="shared" si="17"/>
        <v>0</v>
      </c>
      <c r="H75" s="223"/>
      <c r="I75" s="42"/>
    </row>
    <row r="76" spans="1:9" x14ac:dyDescent="0.3">
      <c r="A76" s="1302" t="s">
        <v>197</v>
      </c>
      <c r="B76" s="1306" t="s">
        <v>131</v>
      </c>
      <c r="C76" s="364" t="s">
        <v>132</v>
      </c>
      <c r="D76" s="221"/>
      <c r="E76" s="221"/>
      <c r="F76" s="221"/>
      <c r="G76" s="69">
        <f t="shared" si="17"/>
        <v>0</v>
      </c>
      <c r="H76" s="222"/>
      <c r="I76" s="240"/>
    </row>
    <row r="77" spans="1:9" x14ac:dyDescent="0.3">
      <c r="A77" s="1303"/>
      <c r="B77" s="1306"/>
      <c r="C77" s="364" t="s">
        <v>133</v>
      </c>
      <c r="D77" s="221"/>
      <c r="E77" s="221"/>
      <c r="F77" s="221"/>
      <c r="G77" s="66">
        <f t="shared" si="17"/>
        <v>0</v>
      </c>
      <c r="H77" s="218"/>
      <c r="I77" s="240"/>
    </row>
    <row r="78" spans="1:9" x14ac:dyDescent="0.3">
      <c r="A78" s="1303"/>
      <c r="B78" s="1306"/>
      <c r="C78" s="364" t="s">
        <v>194</v>
      </c>
      <c r="D78" s="221"/>
      <c r="E78" s="221"/>
      <c r="F78" s="221"/>
      <c r="G78" s="66">
        <f t="shared" si="17"/>
        <v>0</v>
      </c>
      <c r="H78" s="218"/>
      <c r="I78" s="240"/>
    </row>
    <row r="79" spans="1:9" x14ac:dyDescent="0.3">
      <c r="A79" s="1303"/>
      <c r="B79" s="1306"/>
      <c r="C79" s="230" t="s">
        <v>134</v>
      </c>
      <c r="D79" s="44"/>
      <c r="E79" s="44"/>
      <c r="F79" s="44"/>
      <c r="G79" s="66">
        <f t="shared" si="17"/>
        <v>0</v>
      </c>
      <c r="H79" s="218"/>
      <c r="I79" s="83"/>
    </row>
    <row r="80" spans="1:9" x14ac:dyDescent="0.3">
      <c r="A80" s="1303"/>
      <c r="B80" s="1306"/>
      <c r="C80" s="230" t="s">
        <v>195</v>
      </c>
      <c r="D80" s="44"/>
      <c r="E80" s="44"/>
      <c r="F80" s="44"/>
      <c r="G80" s="66">
        <f t="shared" si="17"/>
        <v>0</v>
      </c>
      <c r="H80" s="218"/>
      <c r="I80" s="83"/>
    </row>
    <row r="81" spans="1:9" x14ac:dyDescent="0.3">
      <c r="A81" s="1303"/>
      <c r="B81" s="1462"/>
      <c r="C81" s="228" t="s">
        <v>308</v>
      </c>
      <c r="D81" s="66">
        <f>SUM(D76:D80)</f>
        <v>0</v>
      </c>
      <c r="E81" s="66">
        <f t="shared" ref="E81:F81" si="23">SUM(E76:E80)</f>
        <v>0</v>
      </c>
      <c r="F81" s="66">
        <f t="shared" si="23"/>
        <v>0</v>
      </c>
      <c r="G81" s="66">
        <f t="shared" si="17"/>
        <v>0</v>
      </c>
      <c r="H81" s="218"/>
      <c r="I81" s="83"/>
    </row>
    <row r="82" spans="1:9" ht="18.75" customHeight="1" x14ac:dyDescent="0.3">
      <c r="A82" s="1303"/>
      <c r="B82" s="1479" t="s">
        <v>197</v>
      </c>
      <c r="C82" s="624" t="s">
        <v>164</v>
      </c>
      <c r="D82" s="44"/>
      <c r="E82" s="44"/>
      <c r="F82" s="44"/>
      <c r="G82" s="66">
        <f t="shared" si="17"/>
        <v>0</v>
      </c>
      <c r="H82" s="218"/>
      <c r="I82" s="83"/>
    </row>
    <row r="83" spans="1:9" ht="18.75" customHeight="1" x14ac:dyDescent="0.3">
      <c r="A83" s="1303"/>
      <c r="B83" s="1309"/>
      <c r="C83" s="624" t="s">
        <v>191</v>
      </c>
      <c r="D83" s="44"/>
      <c r="E83" s="44"/>
      <c r="F83" s="44"/>
      <c r="G83" s="66">
        <f t="shared" si="17"/>
        <v>0</v>
      </c>
      <c r="H83" s="218"/>
      <c r="I83" s="83"/>
    </row>
    <row r="84" spans="1:9" ht="18.75" customHeight="1" x14ac:dyDescent="0.3">
      <c r="A84" s="1303"/>
      <c r="B84" s="1309"/>
      <c r="C84" s="624" t="s">
        <v>192</v>
      </c>
      <c r="D84" s="44"/>
      <c r="E84" s="44"/>
      <c r="F84" s="44"/>
      <c r="G84" s="66">
        <f t="shared" si="17"/>
        <v>0</v>
      </c>
      <c r="H84" s="218"/>
      <c r="I84" s="83"/>
    </row>
    <row r="85" spans="1:9" ht="18.75" customHeight="1" x14ac:dyDescent="0.3">
      <c r="A85" s="1303"/>
      <c r="B85" s="1309"/>
      <c r="C85" s="624" t="s">
        <v>140</v>
      </c>
      <c r="D85" s="44"/>
      <c r="E85" s="44"/>
      <c r="F85" s="44"/>
      <c r="G85" s="66">
        <f t="shared" si="17"/>
        <v>0</v>
      </c>
      <c r="H85" s="218"/>
      <c r="I85" s="83"/>
    </row>
    <row r="86" spans="1:9" ht="18.75" customHeight="1" x14ac:dyDescent="0.3">
      <c r="A86" s="1303"/>
      <c r="B86" s="1309"/>
      <c r="C86" s="624" t="s">
        <v>137</v>
      </c>
      <c r="D86" s="44">
        <v>14249700</v>
      </c>
      <c r="E86" s="913">
        <v>9818220</v>
      </c>
      <c r="F86" s="44">
        <v>9992700</v>
      </c>
      <c r="G86" s="44">
        <f t="shared" si="17"/>
        <v>-4257000</v>
      </c>
      <c r="H86" s="218">
        <f>G86/D86*100%</f>
        <v>-0.298743131434346</v>
      </c>
      <c r="I86" s="83"/>
    </row>
    <row r="87" spans="1:9" ht="18.75" customHeight="1" x14ac:dyDescent="0.3">
      <c r="A87" s="1303"/>
      <c r="B87" s="1309"/>
      <c r="C87" s="624" t="s">
        <v>141</v>
      </c>
      <c r="D87" s="44"/>
      <c r="E87" s="44"/>
      <c r="F87" s="44"/>
      <c r="G87" s="66">
        <f t="shared" si="17"/>
        <v>0</v>
      </c>
      <c r="H87" s="218"/>
      <c r="I87" s="83"/>
    </row>
    <row r="88" spans="1:9" ht="18.75" customHeight="1" x14ac:dyDescent="0.3">
      <c r="A88" s="1303"/>
      <c r="B88" s="1309"/>
      <c r="C88" s="624" t="s">
        <v>138</v>
      </c>
      <c r="D88" s="44"/>
      <c r="E88" s="44"/>
      <c r="F88" s="44"/>
      <c r="G88" s="66">
        <f t="shared" si="17"/>
        <v>0</v>
      </c>
      <c r="H88" s="218"/>
      <c r="I88" s="83"/>
    </row>
    <row r="89" spans="1:9" ht="18.75" customHeight="1" x14ac:dyDescent="0.3">
      <c r="A89" s="1303"/>
      <c r="B89" s="1309"/>
      <c r="C89" s="624" t="s">
        <v>139</v>
      </c>
      <c r="D89" s="44"/>
      <c r="E89" s="44"/>
      <c r="F89" s="44"/>
      <c r="G89" s="66">
        <f t="shared" si="17"/>
        <v>0</v>
      </c>
      <c r="H89" s="218"/>
      <c r="I89" s="83"/>
    </row>
    <row r="90" spans="1:9" ht="18.75" customHeight="1" x14ac:dyDescent="0.3">
      <c r="A90" s="1303"/>
      <c r="B90" s="1309"/>
      <c r="C90" s="624" t="s">
        <v>136</v>
      </c>
      <c r="D90" s="44"/>
      <c r="E90" s="44"/>
      <c r="F90" s="44"/>
      <c r="G90" s="66">
        <f t="shared" si="17"/>
        <v>0</v>
      </c>
      <c r="H90" s="218"/>
      <c r="I90" s="83"/>
    </row>
    <row r="91" spans="1:9" ht="18.75" customHeight="1" x14ac:dyDescent="0.3">
      <c r="A91" s="1303"/>
      <c r="B91" s="1309"/>
      <c r="C91" s="624" t="s">
        <v>135</v>
      </c>
      <c r="D91" s="44"/>
      <c r="E91" s="44"/>
      <c r="F91" s="44"/>
      <c r="G91" s="66">
        <f t="shared" si="17"/>
        <v>0</v>
      </c>
      <c r="H91" s="218"/>
      <c r="I91" s="83"/>
    </row>
    <row r="92" spans="1:9" ht="18.75" customHeight="1" x14ac:dyDescent="0.3">
      <c r="A92" s="1303"/>
      <c r="B92" s="1309"/>
      <c r="C92" s="624" t="s">
        <v>193</v>
      </c>
      <c r="D92" s="44"/>
      <c r="E92" s="44"/>
      <c r="F92" s="44"/>
      <c r="G92" s="66">
        <f t="shared" si="17"/>
        <v>0</v>
      </c>
      <c r="H92" s="218"/>
      <c r="I92" s="83"/>
    </row>
    <row r="93" spans="1:9" ht="18.75" customHeight="1" x14ac:dyDescent="0.3">
      <c r="A93" s="1303"/>
      <c r="B93" s="1309"/>
      <c r="C93" s="624" t="s">
        <v>239</v>
      </c>
      <c r="D93" s="44"/>
      <c r="E93" s="44"/>
      <c r="F93" s="44"/>
      <c r="G93" s="66">
        <f t="shared" si="17"/>
        <v>0</v>
      </c>
      <c r="H93" s="218"/>
      <c r="I93" s="83"/>
    </row>
    <row r="94" spans="1:9" ht="18.75" customHeight="1" x14ac:dyDescent="0.3">
      <c r="A94" s="1303"/>
      <c r="B94" s="1309"/>
      <c r="C94" s="624" t="s">
        <v>240</v>
      </c>
      <c r="D94" s="44"/>
      <c r="E94" s="44"/>
      <c r="F94" s="44"/>
      <c r="G94" s="66">
        <f t="shared" si="17"/>
        <v>0</v>
      </c>
      <c r="H94" s="218"/>
      <c r="I94" s="83"/>
    </row>
    <row r="95" spans="1:9" ht="18.75" customHeight="1" x14ac:dyDescent="0.3">
      <c r="A95" s="1303"/>
      <c r="B95" s="1309"/>
      <c r="C95" s="624" t="s">
        <v>241</v>
      </c>
      <c r="D95" s="44"/>
      <c r="E95" s="44"/>
      <c r="F95" s="44"/>
      <c r="G95" s="66">
        <f t="shared" si="17"/>
        <v>0</v>
      </c>
      <c r="H95" s="218"/>
      <c r="I95" s="83"/>
    </row>
    <row r="96" spans="1:9" ht="18.75" customHeight="1" x14ac:dyDescent="0.3">
      <c r="A96" s="1303"/>
      <c r="B96" s="1309"/>
      <c r="C96" s="624" t="s">
        <v>242</v>
      </c>
      <c r="D96" s="44"/>
      <c r="E96" s="44"/>
      <c r="F96" s="44"/>
      <c r="G96" s="66">
        <f t="shared" si="17"/>
        <v>0</v>
      </c>
      <c r="H96" s="218"/>
      <c r="I96" s="83"/>
    </row>
    <row r="97" spans="1:9" ht="18.75" customHeight="1" x14ac:dyDescent="0.3">
      <c r="A97" s="1303"/>
      <c r="B97" s="1309"/>
      <c r="C97" s="624" t="s">
        <v>243</v>
      </c>
      <c r="D97" s="44"/>
      <c r="E97" s="44"/>
      <c r="F97" s="44"/>
      <c r="G97" s="66">
        <f t="shared" si="17"/>
        <v>0</v>
      </c>
      <c r="H97" s="218"/>
      <c r="I97" s="83"/>
    </row>
    <row r="98" spans="1:9" ht="20.25" customHeight="1" x14ac:dyDescent="0.3">
      <c r="A98" s="1303"/>
      <c r="B98" s="1309"/>
      <c r="C98" s="624" t="s">
        <v>244</v>
      </c>
      <c r="D98" s="44"/>
      <c r="E98" s="44"/>
      <c r="F98" s="44"/>
      <c r="G98" s="66">
        <f t="shared" si="17"/>
        <v>0</v>
      </c>
      <c r="H98" s="218"/>
      <c r="I98" s="83"/>
    </row>
    <row r="99" spans="1:9" ht="20.25" customHeight="1" x14ac:dyDescent="0.3">
      <c r="A99" s="1303"/>
      <c r="B99" s="1309"/>
      <c r="C99" s="624" t="s">
        <v>245</v>
      </c>
      <c r="D99" s="44"/>
      <c r="E99" s="44"/>
      <c r="F99" s="44"/>
      <c r="G99" s="66">
        <f t="shared" si="17"/>
        <v>0</v>
      </c>
      <c r="H99" s="218"/>
      <c r="I99" s="83"/>
    </row>
    <row r="100" spans="1:9" ht="20.25" customHeight="1" x14ac:dyDescent="0.3">
      <c r="A100" s="1303"/>
      <c r="B100" s="1309"/>
      <c r="C100" s="624" t="s">
        <v>232</v>
      </c>
      <c r="D100" s="44"/>
      <c r="E100" s="44"/>
      <c r="F100" s="44"/>
      <c r="G100" s="66">
        <f t="shared" si="17"/>
        <v>0</v>
      </c>
      <c r="H100" s="218"/>
      <c r="I100" s="83"/>
    </row>
    <row r="101" spans="1:9" ht="20.25" customHeight="1" x14ac:dyDescent="0.3">
      <c r="A101" s="1303"/>
      <c r="B101" s="1309"/>
      <c r="C101" s="624" t="s">
        <v>233</v>
      </c>
      <c r="D101" s="44"/>
      <c r="E101" s="44"/>
      <c r="F101" s="44"/>
      <c r="G101" s="66">
        <f t="shared" si="17"/>
        <v>0</v>
      </c>
      <c r="H101" s="218"/>
      <c r="I101" s="83"/>
    </row>
    <row r="102" spans="1:9" ht="20.25" customHeight="1" x14ac:dyDescent="0.3">
      <c r="A102" s="1303"/>
      <c r="B102" s="1309"/>
      <c r="C102" s="624" t="s">
        <v>234</v>
      </c>
      <c r="D102" s="44"/>
      <c r="E102" s="44"/>
      <c r="F102" s="44"/>
      <c r="G102" s="66">
        <f t="shared" si="17"/>
        <v>0</v>
      </c>
      <c r="H102" s="218"/>
      <c r="I102" s="83"/>
    </row>
    <row r="103" spans="1:9" ht="22.5" customHeight="1" x14ac:dyDescent="0.3">
      <c r="A103" s="1303"/>
      <c r="B103" s="1309"/>
      <c r="C103" s="624" t="s">
        <v>235</v>
      </c>
      <c r="D103" s="44"/>
      <c r="E103" s="44"/>
      <c r="F103" s="44"/>
      <c r="G103" s="66">
        <f t="shared" si="17"/>
        <v>0</v>
      </c>
      <c r="H103" s="218"/>
      <c r="I103" s="83"/>
    </row>
    <row r="104" spans="1:9" ht="17.25" thickBot="1" x14ac:dyDescent="0.35">
      <c r="A104" s="1303"/>
      <c r="B104" s="1310"/>
      <c r="C104" s="478" t="s">
        <v>309</v>
      </c>
      <c r="D104" s="519">
        <f>SUM(D82:D103)</f>
        <v>14249700</v>
      </c>
      <c r="E104" s="519">
        <f>SUM(E82:E103)</f>
        <v>9818220</v>
      </c>
      <c r="F104" s="519">
        <f>SUM(F82:F103)</f>
        <v>9992700</v>
      </c>
      <c r="G104" s="519">
        <f t="shared" si="17"/>
        <v>-4257000</v>
      </c>
      <c r="H104" s="653">
        <f>G104/D104*100%</f>
        <v>-0.298743131434346</v>
      </c>
      <c r="I104" s="81"/>
    </row>
    <row r="105" spans="1:9" ht="17.25" thickBot="1" x14ac:dyDescent="0.35">
      <c r="A105" s="1304"/>
      <c r="B105" s="1311" t="s">
        <v>13</v>
      </c>
      <c r="C105" s="1311"/>
      <c r="D105" s="629">
        <f>SUM(D81,D104)</f>
        <v>14249700</v>
      </c>
      <c r="E105" s="629">
        <f>SUM(E81,E104)</f>
        <v>9818220</v>
      </c>
      <c r="F105" s="629">
        <f>SUM(F81,F104)</f>
        <v>9992700</v>
      </c>
      <c r="G105" s="520">
        <f t="shared" si="17"/>
        <v>-4257000</v>
      </c>
      <c r="H105" s="653">
        <f>G105/D105*100%</f>
        <v>-0.298743131434346</v>
      </c>
      <c r="I105" s="573"/>
    </row>
    <row r="106" spans="1:9" x14ac:dyDescent="0.3">
      <c r="A106" s="1303" t="s">
        <v>274</v>
      </c>
      <c r="B106" s="201" t="s">
        <v>274</v>
      </c>
      <c r="C106" s="219" t="s">
        <v>8</v>
      </c>
      <c r="D106" s="216"/>
      <c r="E106" s="69"/>
      <c r="F106" s="77"/>
      <c r="G106" s="36">
        <f t="shared" si="17"/>
        <v>0</v>
      </c>
      <c r="H106" s="167"/>
      <c r="I106" s="37"/>
    </row>
    <row r="107" spans="1:9" ht="17.25" thickBot="1" x14ac:dyDescent="0.35">
      <c r="A107" s="1304"/>
      <c r="B107" s="1312" t="s">
        <v>13</v>
      </c>
      <c r="C107" s="1313"/>
      <c r="D107" s="210">
        <f>D106</f>
        <v>0</v>
      </c>
      <c r="E107" s="210">
        <f t="shared" ref="E107:F107" si="24">E106</f>
        <v>0</v>
      </c>
      <c r="F107" s="210">
        <f t="shared" si="24"/>
        <v>0</v>
      </c>
      <c r="G107" s="158">
        <f t="shared" si="17"/>
        <v>0</v>
      </c>
      <c r="H107" s="166"/>
      <c r="I107" s="42"/>
    </row>
    <row r="108" spans="1:9" x14ac:dyDescent="0.3">
      <c r="A108" s="1286" t="s">
        <v>269</v>
      </c>
      <c r="B108" s="1288" t="s">
        <v>198</v>
      </c>
      <c r="C108" s="151" t="s">
        <v>65</v>
      </c>
      <c r="D108" s="211"/>
      <c r="E108" s="69"/>
      <c r="F108" s="214"/>
      <c r="G108" s="157">
        <f t="shared" si="17"/>
        <v>0</v>
      </c>
      <c r="H108" s="130"/>
      <c r="I108" s="39"/>
    </row>
    <row r="109" spans="1:9" x14ac:dyDescent="0.3">
      <c r="A109" s="1286"/>
      <c r="B109" s="1289"/>
      <c r="C109" s="146" t="s">
        <v>38</v>
      </c>
      <c r="D109" s="212">
        <v>5717870</v>
      </c>
      <c r="E109" s="913">
        <v>5414510</v>
      </c>
      <c r="F109" s="77">
        <v>6065870</v>
      </c>
      <c r="G109" s="36">
        <f t="shared" si="17"/>
        <v>348000</v>
      </c>
      <c r="H109" s="130">
        <f>G109/D109*100%</f>
        <v>6.0861824420632156E-2</v>
      </c>
      <c r="I109" s="37"/>
    </row>
    <row r="110" spans="1:9" ht="17.25" thickBot="1" x14ac:dyDescent="0.35">
      <c r="A110" s="1461"/>
      <c r="B110" s="1321" t="s">
        <v>13</v>
      </c>
      <c r="C110" s="1322"/>
      <c r="D110" s="576">
        <f>SUM(D108:D109)</f>
        <v>5717870</v>
      </c>
      <c r="E110" s="576">
        <f t="shared" ref="E110:F110" si="25">SUM(E108:E109)</f>
        <v>5414510</v>
      </c>
      <c r="F110" s="576">
        <f t="shared" si="25"/>
        <v>6065870</v>
      </c>
      <c r="G110" s="587">
        <f t="shared" si="17"/>
        <v>348000</v>
      </c>
      <c r="H110" s="656">
        <f>G110/D110*100%</f>
        <v>6.0861824420632156E-2</v>
      </c>
      <c r="I110" s="42"/>
    </row>
    <row r="111" spans="1:9" ht="24" customHeight="1" thickBot="1" x14ac:dyDescent="0.35">
      <c r="A111" s="152" t="s">
        <v>43</v>
      </c>
      <c r="B111" s="153" t="s">
        <v>43</v>
      </c>
      <c r="C111" s="220" t="s">
        <v>68</v>
      </c>
      <c r="D111" s="213"/>
      <c r="E111" s="221"/>
      <c r="F111" s="215"/>
      <c r="G111" s="133">
        <f t="shared" si="17"/>
        <v>0</v>
      </c>
      <c r="H111" s="168" t="e">
        <f t="shared" ref="H111" si="26">G111/D111*100</f>
        <v>#DIV/0!</v>
      </c>
      <c r="I111" s="138"/>
    </row>
    <row r="112" spans="1:9" ht="17.25" thickBot="1" x14ac:dyDescent="0.35">
      <c r="A112" s="1391" t="s">
        <v>41</v>
      </c>
      <c r="B112" s="1392"/>
      <c r="C112" s="1393"/>
      <c r="D112" s="302">
        <f>SUM(D71,D75,D105,D107,D110,D111)</f>
        <v>155806000</v>
      </c>
      <c r="E112" s="302">
        <f>SUM(E71,E75,E105,E107,E110,E111)</f>
        <v>140263691</v>
      </c>
      <c r="F112" s="302">
        <f>SUM(F71,F75,F105,F107,F110,F111)</f>
        <v>151258000</v>
      </c>
      <c r="G112" s="606">
        <f t="shared" si="17"/>
        <v>-4548000</v>
      </c>
      <c r="H112" s="523">
        <f>G112/D112*100%</f>
        <v>-2.9190146720922173E-2</v>
      </c>
      <c r="I112" s="78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21</vt:i4>
      </vt:variant>
      <vt:variant>
        <vt:lpstr>이름이 지정된 범위</vt:lpstr>
      </vt:variant>
      <vt:variant>
        <vt:i4>1</vt:i4>
      </vt:variant>
    </vt:vector>
  </HeadingPairs>
  <TitlesOfParts>
    <vt:vector size="22" baseType="lpstr">
      <vt:lpstr>2024년 추경예산(안) 지부별총괄표</vt:lpstr>
      <vt:lpstr>총괄표(세입.세출)</vt:lpstr>
      <vt:lpstr>1. 본부사무국</vt:lpstr>
      <vt:lpstr>2.서울지부</vt:lpstr>
      <vt:lpstr>3.부산지부</vt:lpstr>
      <vt:lpstr>4. 서울Y 봉천종합사회복지관</vt:lpstr>
      <vt:lpstr>5. 강서종합사회복지관(총괄)</vt:lpstr>
      <vt:lpstr>5-1. 강서종합사회복지관</vt:lpstr>
      <vt:lpstr>5-2.강서종합사회복지관(재가노인지원서비스)</vt:lpstr>
      <vt:lpstr>5-3.강서구종합사회복지관(강서지역아동센터)</vt:lpstr>
      <vt:lpstr>5-4.강서구종합사회복지관(청소년지원센터)</vt:lpstr>
      <vt:lpstr>5-5.강서구종합사회복지관(자원봉사센터)</vt:lpstr>
      <vt:lpstr>5-6.강서구종합사회복지관(발달재활서비스)</vt:lpstr>
      <vt:lpstr>5-7.강서구종합사회복지관(심리치유서비스)</vt:lpstr>
      <vt:lpstr>6.강서구지역자활센터(장기요양사업)</vt:lpstr>
      <vt:lpstr>7. 강서구어린이집</vt:lpstr>
      <vt:lpstr>8.은학의집(총괄)</vt:lpstr>
      <vt:lpstr>8-1.은학의집(재가복지)</vt:lpstr>
      <vt:lpstr>8-2은학의집(요양시설)</vt:lpstr>
      <vt:lpstr>9.울산씨밀레</vt:lpstr>
      <vt:lpstr>Sheet1</vt:lpstr>
      <vt:lpstr>'1. 본부사무국'!Print_Area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YWCA</cp:lastModifiedBy>
  <cp:lastPrinted>2024-12-17T01:54:50Z</cp:lastPrinted>
  <dcterms:created xsi:type="dcterms:W3CDTF">2020-12-29T07:45:36Z</dcterms:created>
  <dcterms:modified xsi:type="dcterms:W3CDTF">2024-12-17T03:05:51Z</dcterms:modified>
  <cp:contentStatus/>
</cp:coreProperties>
</file>