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YWCA_복지사업단\2. 공문\2017\"/>
    </mc:Choice>
  </mc:AlternateContent>
  <bookViews>
    <workbookView xWindow="0" yWindow="0" windowWidth="23970" windowHeight="9525"/>
  </bookViews>
  <sheets>
    <sheet name="★전체총괄" sheetId="2" r:id="rId1"/>
    <sheet name="★본부총괄" sheetId="3" r:id="rId2"/>
    <sheet name="본부세입세출" sheetId="7" r:id="rId3"/>
    <sheet name="★서울총괄" sheetId="4" r:id="rId4"/>
    <sheet name="서울-세입세출" sheetId="8" r:id="rId5"/>
    <sheet name="★부산총괄" sheetId="5" r:id="rId6"/>
    <sheet name="★울산총괄" sheetId="6" r:id="rId7"/>
  </sheets>
  <externalReferences>
    <externalReference r:id="rId8"/>
  </externalReferences>
  <definedNames>
    <definedName name="_xlnm.Print_Area" localSheetId="1">★본부총괄!$A$2:$M$53</definedName>
    <definedName name="_xlnm.Print_Area" localSheetId="5">★부산총괄!$A$2:$M$54</definedName>
    <definedName name="_xlnm.Print_Area" localSheetId="3">★서울총괄!$A$2:$M$53</definedName>
    <definedName name="_xlnm.Print_Area" localSheetId="6">★울산총괄!$A$2:$M$51</definedName>
    <definedName name="_xlnm.Print_Area" localSheetId="0">★전체총괄!$A$2:$M$55</definedName>
    <definedName name="_xlnm.Print_Area" localSheetId="2">본부세입세출!$A$2:$H$233</definedName>
    <definedName name="_xlnm.Print_Area" localSheetId="4">'서울-세입세출'!$A$2:$H$80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2" l="1"/>
  <c r="F51" i="2"/>
  <c r="F50" i="2"/>
  <c r="F49" i="2"/>
  <c r="F47" i="2"/>
  <c r="F46" i="2"/>
  <c r="F44" i="2"/>
  <c r="F43" i="2"/>
  <c r="F42" i="2"/>
  <c r="F41" i="2"/>
  <c r="L54" i="2"/>
  <c r="L53" i="2"/>
  <c r="L52" i="2"/>
  <c r="L51" i="2"/>
  <c r="L50" i="2"/>
  <c r="L49" i="2"/>
  <c r="L48" i="2"/>
  <c r="L47" i="2"/>
  <c r="L46" i="2"/>
  <c r="L45" i="2"/>
  <c r="L43" i="2"/>
  <c r="L42" i="2"/>
  <c r="L41" i="2"/>
  <c r="K54" i="2"/>
  <c r="K53" i="2"/>
  <c r="K52" i="2"/>
  <c r="G52" i="2"/>
  <c r="K51" i="2"/>
  <c r="K50" i="2"/>
  <c r="K49" i="2"/>
  <c r="K47" i="2"/>
  <c r="K48" i="2"/>
  <c r="K46" i="2"/>
  <c r="K45" i="2"/>
  <c r="K43" i="2"/>
  <c r="K42" i="2"/>
  <c r="K41" i="2"/>
  <c r="E51" i="2"/>
  <c r="E50" i="2"/>
  <c r="E49" i="2"/>
  <c r="E48" i="2"/>
  <c r="E47" i="2"/>
  <c r="E46" i="2"/>
  <c r="E44" i="2"/>
  <c r="E43" i="2"/>
  <c r="E42" i="2"/>
  <c r="E41" i="2"/>
  <c r="F51" i="5"/>
  <c r="F46" i="5"/>
  <c r="F42" i="5"/>
  <c r="F43" i="5"/>
  <c r="F45" i="5"/>
  <c r="F40" i="5"/>
  <c r="E42" i="5"/>
  <c r="E43" i="5"/>
  <c r="E45" i="5"/>
  <c r="E46" i="5"/>
  <c r="E49" i="5"/>
  <c r="E50" i="5"/>
  <c r="G51" i="5"/>
  <c r="K49" i="5"/>
  <c r="K44" i="5"/>
  <c r="L49" i="5"/>
  <c r="L44" i="5"/>
  <c r="M52" i="5"/>
  <c r="L50" i="5"/>
  <c r="K50" i="5"/>
  <c r="M51" i="5"/>
  <c r="K48" i="4"/>
  <c r="K43" i="4"/>
  <c r="K49" i="4"/>
  <c r="L43" i="4"/>
  <c r="M50" i="4"/>
  <c r="M51" i="4"/>
  <c r="L52" i="4"/>
  <c r="K52" i="4"/>
  <c r="L39" i="4"/>
  <c r="K39" i="4"/>
  <c r="L48" i="4"/>
  <c r="L49" i="4"/>
  <c r="F50" i="4"/>
  <c r="E47" i="4"/>
  <c r="F41" i="4"/>
  <c r="F39" i="4"/>
  <c r="E44" i="4"/>
  <c r="E39" i="4"/>
  <c r="F80" i="8" l="1"/>
  <c r="H80" i="8" s="1"/>
  <c r="H79" i="8"/>
  <c r="F79" i="8"/>
  <c r="H78" i="8"/>
  <c r="H76" i="8"/>
  <c r="H74" i="8"/>
  <c r="H73" i="8"/>
  <c r="H72" i="8"/>
  <c r="H71" i="8"/>
  <c r="H70" i="8"/>
  <c r="H69" i="8"/>
  <c r="F68" i="8"/>
  <c r="H68" i="8" s="1"/>
  <c r="H67" i="8"/>
  <c r="H66" i="8"/>
  <c r="H65" i="8"/>
  <c r="H64" i="8"/>
  <c r="H63" i="8"/>
  <c r="H62" i="8"/>
  <c r="F62" i="8"/>
  <c r="H61" i="8"/>
  <c r="H60" i="8"/>
  <c r="H59" i="8"/>
  <c r="F59" i="8"/>
  <c r="H58" i="8"/>
  <c r="H57" i="8"/>
  <c r="H56" i="8"/>
  <c r="H55" i="8"/>
  <c r="H54" i="8"/>
  <c r="H53" i="8"/>
  <c r="F53" i="8"/>
  <c r="H52" i="8"/>
  <c r="H51" i="8"/>
  <c r="H50" i="8"/>
  <c r="F50" i="8"/>
  <c r="H49" i="8"/>
  <c r="H48" i="8"/>
  <c r="H47" i="8"/>
  <c r="F47" i="8"/>
  <c r="H46" i="8"/>
  <c r="H45" i="8"/>
  <c r="F37" i="8"/>
  <c r="H37" i="8" s="1"/>
  <c r="H36" i="8"/>
  <c r="F36" i="8"/>
  <c r="F38" i="8" s="1"/>
  <c r="H38" i="8" s="1"/>
  <c r="F35" i="8"/>
  <c r="H35" i="8" s="1"/>
  <c r="H34" i="8"/>
  <c r="H33" i="8"/>
  <c r="F32" i="8"/>
  <c r="H32" i="8" s="1"/>
  <c r="H31" i="8"/>
  <c r="H30" i="8"/>
  <c r="F29" i="8"/>
  <c r="H29" i="8" s="1"/>
  <c r="H28" i="8"/>
  <c r="H27" i="8"/>
  <c r="F26" i="8"/>
  <c r="H26" i="8" s="1"/>
  <c r="H25" i="8"/>
  <c r="H24" i="8"/>
  <c r="H23" i="8"/>
  <c r="H22" i="8"/>
  <c r="H21" i="8"/>
  <c r="H20" i="8"/>
  <c r="F20" i="8"/>
  <c r="H19" i="8"/>
  <c r="H18" i="8"/>
  <c r="H17" i="8"/>
  <c r="H16" i="8"/>
  <c r="H15" i="8"/>
  <c r="H14" i="8"/>
  <c r="F14" i="8"/>
  <c r="H13" i="8"/>
  <c r="H12" i="8"/>
  <c r="G231" i="7"/>
  <c r="F228" i="7"/>
  <c r="H228" i="7" s="1"/>
  <c r="H227" i="7"/>
  <c r="F227" i="7"/>
  <c r="H226" i="7"/>
  <c r="F224" i="7"/>
  <c r="H224" i="7" s="1"/>
  <c r="H223" i="7"/>
  <c r="H222" i="7"/>
  <c r="F221" i="7"/>
  <c r="H221" i="7" s="1"/>
  <c r="H220" i="7"/>
  <c r="F220" i="7"/>
  <c r="F229" i="7" s="1"/>
  <c r="H229" i="7" s="1"/>
  <c r="H219" i="7"/>
  <c r="F217" i="7"/>
  <c r="H217" i="7" s="1"/>
  <c r="H216" i="7"/>
  <c r="F216" i="7"/>
  <c r="F215" i="7"/>
  <c r="F218" i="7" s="1"/>
  <c r="H218" i="7" s="1"/>
  <c r="H214" i="7"/>
  <c r="H213" i="7"/>
  <c r="H211" i="7"/>
  <c r="F211" i="7"/>
  <c r="F210" i="7"/>
  <c r="F212" i="7" s="1"/>
  <c r="H212" i="7" s="1"/>
  <c r="H209" i="7"/>
  <c r="F209" i="7"/>
  <c r="H208" i="7"/>
  <c r="H207" i="7"/>
  <c r="F205" i="7"/>
  <c r="H205" i="7" s="1"/>
  <c r="H204" i="7"/>
  <c r="F204" i="7"/>
  <c r="F203" i="7"/>
  <c r="F206" i="7" s="1"/>
  <c r="H206" i="7" s="1"/>
  <c r="H202" i="7"/>
  <c r="H201" i="7"/>
  <c r="F200" i="7"/>
  <c r="H200" i="7" s="1"/>
  <c r="H199" i="7"/>
  <c r="F199" i="7"/>
  <c r="F198" i="7"/>
  <c r="H198" i="7" s="1"/>
  <c r="H197" i="7"/>
  <c r="F197" i="7"/>
  <c r="H196" i="7"/>
  <c r="H195" i="7"/>
  <c r="F193" i="7"/>
  <c r="H193" i="7" s="1"/>
  <c r="H192" i="7"/>
  <c r="F192" i="7"/>
  <c r="F194" i="7" s="1"/>
  <c r="H194" i="7" s="1"/>
  <c r="F191" i="7"/>
  <c r="H191" i="7" s="1"/>
  <c r="H190" i="7"/>
  <c r="H189" i="7"/>
  <c r="F188" i="7"/>
  <c r="H188" i="7" s="1"/>
  <c r="H187" i="7"/>
  <c r="H186" i="7"/>
  <c r="G184" i="7"/>
  <c r="F184" i="7"/>
  <c r="H184" i="7" s="1"/>
  <c r="H183" i="7"/>
  <c r="F183" i="7"/>
  <c r="G182" i="7"/>
  <c r="G185" i="7" s="1"/>
  <c r="F182" i="7"/>
  <c r="H182" i="7" s="1"/>
  <c r="H181" i="7"/>
  <c r="H180" i="7"/>
  <c r="G179" i="7"/>
  <c r="G178" i="7"/>
  <c r="G232" i="7" s="1"/>
  <c r="F178" i="7"/>
  <c r="H178" i="7" s="1"/>
  <c r="G177" i="7"/>
  <c r="H176" i="7"/>
  <c r="F176" i="7"/>
  <c r="H175" i="7"/>
  <c r="H174" i="7"/>
  <c r="F172" i="7"/>
  <c r="H172" i="7" s="1"/>
  <c r="H171" i="7"/>
  <c r="F171" i="7"/>
  <c r="F173" i="7" s="1"/>
  <c r="H173" i="7" s="1"/>
  <c r="H169" i="7"/>
  <c r="F169" i="7"/>
  <c r="F168" i="7"/>
  <c r="F170" i="7" s="1"/>
  <c r="H170" i="7" s="1"/>
  <c r="H167" i="7"/>
  <c r="G167" i="7"/>
  <c r="F167" i="7"/>
  <c r="H166" i="7"/>
  <c r="H165" i="7"/>
  <c r="H164" i="7"/>
  <c r="F164" i="7"/>
  <c r="H163" i="7"/>
  <c r="H162" i="7"/>
  <c r="F160" i="7"/>
  <c r="H160" i="7" s="1"/>
  <c r="H159" i="7"/>
  <c r="F159" i="7"/>
  <c r="F161" i="7" s="1"/>
  <c r="H161" i="7" s="1"/>
  <c r="F158" i="7"/>
  <c r="H158" i="7" s="1"/>
  <c r="H157" i="7"/>
  <c r="H156" i="7"/>
  <c r="F151" i="7"/>
  <c r="H151" i="7" s="1"/>
  <c r="F150" i="7"/>
  <c r="H150" i="7" s="1"/>
  <c r="F149" i="7"/>
  <c r="H149" i="7" s="1"/>
  <c r="H148" i="7"/>
  <c r="H147" i="7"/>
  <c r="F146" i="7"/>
  <c r="H146" i="7" s="1"/>
  <c r="H145" i="7"/>
  <c r="H144" i="7"/>
  <c r="F143" i="7"/>
  <c r="H143" i="7" s="1"/>
  <c r="H142" i="7"/>
  <c r="H141" i="7"/>
  <c r="F140" i="7"/>
  <c r="H140" i="7" s="1"/>
  <c r="H139" i="7"/>
  <c r="H138" i="7"/>
  <c r="F136" i="7"/>
  <c r="H136" i="7" s="1"/>
  <c r="F135" i="7"/>
  <c r="F153" i="7" s="1"/>
  <c r="F134" i="7"/>
  <c r="H134" i="7" s="1"/>
  <c r="H133" i="7"/>
  <c r="H132" i="7"/>
  <c r="F131" i="7"/>
  <c r="H131" i="7" s="1"/>
  <c r="H130" i="7"/>
  <c r="H129" i="7"/>
  <c r="F128" i="7"/>
  <c r="H128" i="7" s="1"/>
  <c r="H127" i="7"/>
  <c r="H126" i="7"/>
  <c r="F124" i="7"/>
  <c r="F154" i="7" s="1"/>
  <c r="F123" i="7"/>
  <c r="H123" i="7" s="1"/>
  <c r="F122" i="7"/>
  <c r="H122" i="7" s="1"/>
  <c r="H121" i="7"/>
  <c r="H120" i="7"/>
  <c r="F119" i="7"/>
  <c r="H119" i="7" s="1"/>
  <c r="H118" i="7"/>
  <c r="H117" i="7"/>
  <c r="F116" i="7"/>
  <c r="H116" i="7" s="1"/>
  <c r="H115" i="7"/>
  <c r="H114" i="7"/>
  <c r="F113" i="7"/>
  <c r="H113" i="7" s="1"/>
  <c r="H112" i="7"/>
  <c r="H111" i="7"/>
  <c r="H101" i="7"/>
  <c r="H100" i="7"/>
  <c r="H99" i="7"/>
  <c r="F98" i="7"/>
  <c r="H98" i="7" s="1"/>
  <c r="H97" i="7"/>
  <c r="H96" i="7"/>
  <c r="F94" i="7"/>
  <c r="H94" i="7" s="1"/>
  <c r="F93" i="7"/>
  <c r="H93" i="7" s="1"/>
  <c r="F92" i="7"/>
  <c r="H92" i="7" s="1"/>
  <c r="F88" i="7"/>
  <c r="H88" i="7" s="1"/>
  <c r="F87" i="7"/>
  <c r="H87" i="7" s="1"/>
  <c r="F86" i="7"/>
  <c r="H86" i="7" s="1"/>
  <c r="H85" i="7"/>
  <c r="H84" i="7"/>
  <c r="F82" i="7"/>
  <c r="H82" i="7" s="1"/>
  <c r="F81" i="7"/>
  <c r="H81" i="7" s="1"/>
  <c r="F80" i="7"/>
  <c r="H80" i="7" s="1"/>
  <c r="F79" i="7"/>
  <c r="H79" i="7" s="1"/>
  <c r="H78" i="7"/>
  <c r="F76" i="7"/>
  <c r="H76" i="7" s="1"/>
  <c r="H75" i="7"/>
  <c r="F75" i="7"/>
  <c r="F77" i="7" s="1"/>
  <c r="F74" i="7"/>
  <c r="H73" i="7"/>
  <c r="H74" i="7" s="1"/>
  <c r="H72" i="7"/>
  <c r="H70" i="7"/>
  <c r="F70" i="7"/>
  <c r="F69" i="7"/>
  <c r="H69" i="7" s="1"/>
  <c r="H68" i="7"/>
  <c r="F68" i="7"/>
  <c r="H67" i="7"/>
  <c r="H66" i="7"/>
  <c r="G64" i="7"/>
  <c r="H64" i="7" s="1"/>
  <c r="F64" i="7"/>
  <c r="F63" i="7"/>
  <c r="F65" i="7" s="1"/>
  <c r="G62" i="7"/>
  <c r="G65" i="7" s="1"/>
  <c r="F62" i="7"/>
  <c r="H61" i="7"/>
  <c r="H60" i="7"/>
  <c r="H62" i="7" s="1"/>
  <c r="F58" i="7"/>
  <c r="H58" i="7" s="1"/>
  <c r="F57" i="7"/>
  <c r="H57" i="7" s="1"/>
  <c r="F56" i="7"/>
  <c r="H56" i="7" s="1"/>
  <c r="H55" i="7"/>
  <c r="H54" i="7"/>
  <c r="H49" i="7"/>
  <c r="G49" i="7"/>
  <c r="G52" i="7" s="1"/>
  <c r="F49" i="7"/>
  <c r="G48" i="7"/>
  <c r="G50" i="7" s="1"/>
  <c r="F48" i="7"/>
  <c r="F50" i="7" s="1"/>
  <c r="H47" i="7"/>
  <c r="H46" i="7"/>
  <c r="H45" i="7"/>
  <c r="H44" i="7"/>
  <c r="F44" i="7"/>
  <c r="H43" i="7"/>
  <c r="H42" i="7"/>
  <c r="H41" i="7"/>
  <c r="F41" i="7"/>
  <c r="H40" i="7"/>
  <c r="H39" i="7"/>
  <c r="H38" i="7"/>
  <c r="F38" i="7"/>
  <c r="H37" i="7"/>
  <c r="H36" i="7"/>
  <c r="H35" i="7"/>
  <c r="F35" i="7"/>
  <c r="H34" i="7"/>
  <c r="H33" i="7"/>
  <c r="H32" i="7"/>
  <c r="G32" i="7"/>
  <c r="F32" i="7"/>
  <c r="H31" i="7"/>
  <c r="H30" i="7"/>
  <c r="H48" i="7" s="1"/>
  <c r="H50" i="7" s="1"/>
  <c r="F28" i="7"/>
  <c r="F52" i="7" s="1"/>
  <c r="F27" i="7"/>
  <c r="H27" i="7" s="1"/>
  <c r="H26" i="7"/>
  <c r="H25" i="7"/>
  <c r="H24" i="7"/>
  <c r="H22" i="7"/>
  <c r="F22" i="7"/>
  <c r="F21" i="7"/>
  <c r="F51" i="7" s="1"/>
  <c r="H20" i="7"/>
  <c r="F20" i="7"/>
  <c r="H19" i="7"/>
  <c r="H18" i="7"/>
  <c r="F16" i="7"/>
  <c r="H16" i="7" s="1"/>
  <c r="H15" i="7"/>
  <c r="F15" i="7"/>
  <c r="F14" i="7"/>
  <c r="F17" i="7" s="1"/>
  <c r="H17" i="7" s="1"/>
  <c r="H13" i="7"/>
  <c r="H12" i="7"/>
  <c r="M50" i="6"/>
  <c r="G50" i="6"/>
  <c r="M38" i="6"/>
  <c r="L38" i="6"/>
  <c r="K38" i="6"/>
  <c r="G38" i="6"/>
  <c r="F38" i="6"/>
  <c r="E38" i="6"/>
  <c r="G37" i="6"/>
  <c r="G35" i="6"/>
  <c r="G34" i="6"/>
  <c r="M33" i="6"/>
  <c r="G33" i="6"/>
  <c r="G32" i="6"/>
  <c r="G31" i="6"/>
  <c r="M30" i="6"/>
  <c r="G30" i="6"/>
  <c r="G29" i="6"/>
  <c r="G27" i="6"/>
  <c r="M26" i="6"/>
  <c r="G26" i="6"/>
  <c r="M25" i="6"/>
  <c r="G25" i="6"/>
  <c r="G24" i="6"/>
  <c r="M23" i="6"/>
  <c r="G23" i="6"/>
  <c r="M22" i="6"/>
  <c r="G22" i="6"/>
  <c r="F54" i="5"/>
  <c r="G54" i="5" s="1"/>
  <c r="E54" i="5"/>
  <c r="F50" i="5"/>
  <c r="G50" i="5"/>
  <c r="F49" i="5"/>
  <c r="L48" i="5"/>
  <c r="K48" i="5"/>
  <c r="L47" i="5"/>
  <c r="K47" i="5"/>
  <c r="M47" i="5" s="1"/>
  <c r="F47" i="5"/>
  <c r="E47" i="5"/>
  <c r="L46" i="5"/>
  <c r="K46" i="5"/>
  <c r="M46" i="5" s="1"/>
  <c r="G46" i="5"/>
  <c r="L45" i="5"/>
  <c r="K45" i="5"/>
  <c r="G44" i="5"/>
  <c r="M43" i="5"/>
  <c r="G43" i="5"/>
  <c r="M42" i="5"/>
  <c r="L41" i="5"/>
  <c r="K41" i="5"/>
  <c r="F41" i="5"/>
  <c r="E41" i="5"/>
  <c r="L40" i="5"/>
  <c r="K40" i="5"/>
  <c r="F53" i="5"/>
  <c r="E40" i="5"/>
  <c r="G40" i="5" s="1"/>
  <c r="L39" i="5"/>
  <c r="K39" i="5"/>
  <c r="F39" i="5"/>
  <c r="E39" i="5"/>
  <c r="F38" i="5"/>
  <c r="F39" i="2" s="1"/>
  <c r="G39" i="2" s="1"/>
  <c r="E38" i="5"/>
  <c r="G37" i="5"/>
  <c r="F37" i="5"/>
  <c r="E37" i="5"/>
  <c r="L36" i="5"/>
  <c r="L37" i="2" s="1"/>
  <c r="M37" i="2" s="1"/>
  <c r="K36" i="5"/>
  <c r="M36" i="5" s="1"/>
  <c r="G36" i="5"/>
  <c r="F36" i="5"/>
  <c r="E36" i="5"/>
  <c r="L35" i="5"/>
  <c r="K35" i="5"/>
  <c r="M35" i="5" s="1"/>
  <c r="G35" i="5"/>
  <c r="F35" i="5"/>
  <c r="E35" i="5"/>
  <c r="L34" i="5"/>
  <c r="K34" i="5"/>
  <c r="F34" i="5"/>
  <c r="E34" i="5"/>
  <c r="G34" i="5" s="1"/>
  <c r="M33" i="5"/>
  <c r="L33" i="5"/>
  <c r="K33" i="5"/>
  <c r="F33" i="5"/>
  <c r="F35" i="2" s="1"/>
  <c r="E33" i="5"/>
  <c r="E35" i="2" s="1"/>
  <c r="L32" i="5"/>
  <c r="K32" i="5"/>
  <c r="M32" i="5" s="1"/>
  <c r="G32" i="5"/>
  <c r="F32" i="5"/>
  <c r="F34" i="2" s="1"/>
  <c r="E32" i="5"/>
  <c r="L31" i="5"/>
  <c r="K31" i="5"/>
  <c r="M31" i="5" s="1"/>
  <c r="G31" i="5"/>
  <c r="F31" i="5"/>
  <c r="E31" i="5"/>
  <c r="L30" i="5"/>
  <c r="L32" i="2" s="1"/>
  <c r="K30" i="5"/>
  <c r="G30" i="5"/>
  <c r="F30" i="5"/>
  <c r="E30" i="5"/>
  <c r="L29" i="5"/>
  <c r="L31" i="2" s="1"/>
  <c r="K29" i="5"/>
  <c r="G29" i="5"/>
  <c r="F29" i="5"/>
  <c r="F31" i="2" s="1"/>
  <c r="E29" i="5"/>
  <c r="E31" i="2" s="1"/>
  <c r="L28" i="5"/>
  <c r="K28" i="5"/>
  <c r="M28" i="5" s="1"/>
  <c r="L27" i="5"/>
  <c r="L29" i="2" s="1"/>
  <c r="K27" i="5"/>
  <c r="M27" i="5" s="1"/>
  <c r="F27" i="5"/>
  <c r="E27" i="5"/>
  <c r="L26" i="5"/>
  <c r="K26" i="5"/>
  <c r="F26" i="5"/>
  <c r="F28" i="2" s="1"/>
  <c r="E26" i="5"/>
  <c r="L25" i="5"/>
  <c r="L27" i="2" s="1"/>
  <c r="K25" i="5"/>
  <c r="M25" i="5" s="1"/>
  <c r="F25" i="5"/>
  <c r="E25" i="5"/>
  <c r="G25" i="5" s="1"/>
  <c r="L24" i="5"/>
  <c r="L33" i="2" s="1"/>
  <c r="M33" i="2" s="1"/>
  <c r="K24" i="5"/>
  <c r="F24" i="5"/>
  <c r="F26" i="2" s="1"/>
  <c r="E24" i="5"/>
  <c r="G24" i="5" s="1"/>
  <c r="L23" i="5"/>
  <c r="L25" i="2" s="1"/>
  <c r="K23" i="5"/>
  <c r="F23" i="5"/>
  <c r="E23" i="5"/>
  <c r="G23" i="5" s="1"/>
  <c r="M22" i="5"/>
  <c r="K22" i="5"/>
  <c r="G22" i="5"/>
  <c r="F22" i="5"/>
  <c r="E22" i="5"/>
  <c r="M21" i="5"/>
  <c r="F21" i="5"/>
  <c r="L20" i="5"/>
  <c r="G20" i="5"/>
  <c r="G19" i="5"/>
  <c r="M18" i="5"/>
  <c r="F18" i="5"/>
  <c r="L17" i="5"/>
  <c r="G17" i="5"/>
  <c r="M16" i="5"/>
  <c r="F16" i="5"/>
  <c r="L15" i="5"/>
  <c r="L22" i="5" s="1"/>
  <c r="F15" i="5"/>
  <c r="M14" i="5"/>
  <c r="F14" i="5"/>
  <c r="M13" i="5"/>
  <c r="G13" i="5"/>
  <c r="L12" i="5"/>
  <c r="M12" i="5" s="1"/>
  <c r="G12" i="5"/>
  <c r="M11" i="5"/>
  <c r="G11" i="5"/>
  <c r="L10" i="5"/>
  <c r="M10" i="5" s="1"/>
  <c r="G10" i="5"/>
  <c r="F52" i="4"/>
  <c r="M49" i="4"/>
  <c r="G49" i="4"/>
  <c r="M48" i="4"/>
  <c r="G48" i="4"/>
  <c r="E48" i="4"/>
  <c r="M47" i="4"/>
  <c r="L47" i="4"/>
  <c r="K47" i="4"/>
  <c r="G47" i="4"/>
  <c r="M44" i="4"/>
  <c r="L44" i="4"/>
  <c r="K44" i="4"/>
  <c r="G44" i="4"/>
  <c r="F44" i="4"/>
  <c r="M43" i="4"/>
  <c r="G42" i="4"/>
  <c r="G41" i="4"/>
  <c r="E41" i="4"/>
  <c r="G40" i="4"/>
  <c r="E52" i="4"/>
  <c r="F38" i="4"/>
  <c r="F53" i="4" s="1"/>
  <c r="L35" i="4"/>
  <c r="M35" i="4" s="1"/>
  <c r="K35" i="4"/>
  <c r="L33" i="4"/>
  <c r="K33" i="4"/>
  <c r="G33" i="4"/>
  <c r="F33" i="4"/>
  <c r="E33" i="4"/>
  <c r="L32" i="4"/>
  <c r="M32" i="4" s="1"/>
  <c r="K32" i="4"/>
  <c r="F32" i="4"/>
  <c r="E32" i="4"/>
  <c r="G32" i="4" s="1"/>
  <c r="M30" i="4"/>
  <c r="L30" i="4"/>
  <c r="K30" i="4"/>
  <c r="M29" i="4"/>
  <c r="L29" i="4"/>
  <c r="K29" i="4"/>
  <c r="L28" i="4"/>
  <c r="L38" i="4" s="1"/>
  <c r="K28" i="4"/>
  <c r="L27" i="4"/>
  <c r="K27" i="4"/>
  <c r="M27" i="4" s="1"/>
  <c r="G27" i="4"/>
  <c r="F27" i="4"/>
  <c r="E27" i="4"/>
  <c r="M26" i="4"/>
  <c r="L26" i="4"/>
  <c r="K26" i="4"/>
  <c r="F26" i="4"/>
  <c r="G26" i="4" s="1"/>
  <c r="E26" i="4"/>
  <c r="F25" i="4"/>
  <c r="E25" i="4"/>
  <c r="E38" i="4" s="1"/>
  <c r="G24" i="4"/>
  <c r="F24" i="4"/>
  <c r="E24" i="4"/>
  <c r="M23" i="4"/>
  <c r="L23" i="4"/>
  <c r="K23" i="4"/>
  <c r="F23" i="4"/>
  <c r="G23" i="4" s="1"/>
  <c r="E23" i="4"/>
  <c r="L22" i="4"/>
  <c r="K22" i="4"/>
  <c r="G22" i="4"/>
  <c r="F22" i="4"/>
  <c r="E22" i="4"/>
  <c r="M21" i="4"/>
  <c r="M20" i="4"/>
  <c r="G19" i="4"/>
  <c r="M18" i="4"/>
  <c r="M16" i="4"/>
  <c r="M22" i="4" s="1"/>
  <c r="G16" i="4"/>
  <c r="M14" i="4"/>
  <c r="G14" i="4"/>
  <c r="G12" i="4"/>
  <c r="M10" i="4"/>
  <c r="G10" i="4"/>
  <c r="K53" i="3"/>
  <c r="M52" i="3"/>
  <c r="G52" i="3"/>
  <c r="L40" i="3"/>
  <c r="K40" i="3"/>
  <c r="F40" i="3"/>
  <c r="E40" i="3"/>
  <c r="E53" i="3" s="1"/>
  <c r="G39" i="3"/>
  <c r="G38" i="3"/>
  <c r="M37" i="3"/>
  <c r="G37" i="3"/>
  <c r="M36" i="3"/>
  <c r="G36" i="3"/>
  <c r="M35" i="3"/>
  <c r="M34" i="3"/>
  <c r="G34" i="3"/>
  <c r="M31" i="3"/>
  <c r="M29" i="3"/>
  <c r="G29" i="3"/>
  <c r="F29" i="3"/>
  <c r="M28" i="3"/>
  <c r="G28" i="3"/>
  <c r="M27" i="3"/>
  <c r="M40" i="3" s="1"/>
  <c r="G27" i="3"/>
  <c r="G26" i="3"/>
  <c r="M25" i="3"/>
  <c r="G25" i="3"/>
  <c r="G40" i="3" s="1"/>
  <c r="K24" i="3"/>
  <c r="F24" i="3"/>
  <c r="F53" i="3" s="1"/>
  <c r="E24" i="3"/>
  <c r="F23" i="3"/>
  <c r="G23" i="3" s="1"/>
  <c r="G22" i="3"/>
  <c r="G21" i="3"/>
  <c r="M20" i="3"/>
  <c r="G20" i="3"/>
  <c r="M19" i="3"/>
  <c r="G19" i="3"/>
  <c r="L18" i="3"/>
  <c r="L24" i="3" s="1"/>
  <c r="L53" i="3" s="1"/>
  <c r="G18" i="3"/>
  <c r="M17" i="3"/>
  <c r="G17" i="3"/>
  <c r="M16" i="3"/>
  <c r="G16" i="3"/>
  <c r="M15" i="3"/>
  <c r="G15" i="3"/>
  <c r="M14" i="3"/>
  <c r="G14" i="3"/>
  <c r="M13" i="3"/>
  <c r="M12" i="3"/>
  <c r="G12" i="3"/>
  <c r="G24" i="3" s="1"/>
  <c r="G53" i="3" s="1"/>
  <c r="M10" i="3"/>
  <c r="G10" i="3"/>
  <c r="E10" i="3"/>
  <c r="G49" i="2"/>
  <c r="M48" i="2"/>
  <c r="G48" i="2"/>
  <c r="G38" i="2"/>
  <c r="F38" i="2"/>
  <c r="K37" i="2"/>
  <c r="F37" i="2"/>
  <c r="G37" i="2" s="1"/>
  <c r="L36" i="2"/>
  <c r="K36" i="2"/>
  <c r="F36" i="2"/>
  <c r="G36" i="2" s="1"/>
  <c r="E36" i="2"/>
  <c r="L35" i="2"/>
  <c r="M35" i="2" s="1"/>
  <c r="L34" i="2"/>
  <c r="M34" i="2" s="1"/>
  <c r="K34" i="2"/>
  <c r="K32" i="2"/>
  <c r="K31" i="2"/>
  <c r="L30" i="2"/>
  <c r="M30" i="2" s="1"/>
  <c r="K30" i="2"/>
  <c r="K29" i="2"/>
  <c r="E29" i="2"/>
  <c r="K28" i="2"/>
  <c r="K27" i="2"/>
  <c r="F27" i="2"/>
  <c r="K25" i="2"/>
  <c r="F23" i="2"/>
  <c r="G23" i="2" s="1"/>
  <c r="F22" i="2"/>
  <c r="G22" i="2" s="1"/>
  <c r="M21" i="2"/>
  <c r="F21" i="2"/>
  <c r="G21" i="2" s="1"/>
  <c r="M20" i="2"/>
  <c r="E20" i="2"/>
  <c r="G20" i="2" s="1"/>
  <c r="L19" i="2"/>
  <c r="K19" i="2"/>
  <c r="F19" i="2"/>
  <c r="E19" i="2"/>
  <c r="G19" i="2" s="1"/>
  <c r="L18" i="2"/>
  <c r="K18" i="2"/>
  <c r="F18" i="2"/>
  <c r="G18" i="2" s="1"/>
  <c r="M17" i="2"/>
  <c r="F17" i="2"/>
  <c r="E17" i="2"/>
  <c r="G17" i="2" s="1"/>
  <c r="L16" i="2"/>
  <c r="K16" i="2"/>
  <c r="M16" i="2" s="1"/>
  <c r="F16" i="2"/>
  <c r="E16" i="2"/>
  <c r="L15" i="2"/>
  <c r="K15" i="2"/>
  <c r="M15" i="2" s="1"/>
  <c r="E15" i="2"/>
  <c r="G15" i="2" s="1"/>
  <c r="K14" i="2"/>
  <c r="M14" i="2" s="1"/>
  <c r="F14" i="2"/>
  <c r="E14" i="2"/>
  <c r="K13" i="2"/>
  <c r="M13" i="2" s="1"/>
  <c r="L12" i="2"/>
  <c r="K12" i="2"/>
  <c r="F12" i="2"/>
  <c r="E12" i="2"/>
  <c r="L10" i="2"/>
  <c r="K10" i="2"/>
  <c r="F10" i="2"/>
  <c r="E10" i="2"/>
  <c r="K24" i="2" l="1"/>
  <c r="G14" i="2"/>
  <c r="M32" i="2"/>
  <c r="G12" i="2"/>
  <c r="G24" i="2" s="1"/>
  <c r="M36" i="2"/>
  <c r="E26" i="2"/>
  <c r="M41" i="2"/>
  <c r="K53" i="5"/>
  <c r="K54" i="5" s="1"/>
  <c r="M42" i="2"/>
  <c r="E53" i="5"/>
  <c r="M23" i="5"/>
  <c r="G27" i="5"/>
  <c r="M29" i="5"/>
  <c r="L53" i="5"/>
  <c r="L54" i="5" s="1"/>
  <c r="M45" i="5"/>
  <c r="M48" i="5"/>
  <c r="F29" i="2"/>
  <c r="G29" i="2" s="1"/>
  <c r="M46" i="2"/>
  <c r="G51" i="2"/>
  <c r="G38" i="5"/>
  <c r="E34" i="2"/>
  <c r="G34" i="2" s="1"/>
  <c r="M26" i="5"/>
  <c r="M41" i="5"/>
  <c r="G45" i="5"/>
  <c r="G10" i="2"/>
  <c r="G16" i="2"/>
  <c r="M19" i="2"/>
  <c r="E25" i="2"/>
  <c r="L28" i="2"/>
  <c r="M28" i="2" s="1"/>
  <c r="G41" i="2"/>
  <c r="G46" i="2"/>
  <c r="G26" i="5"/>
  <c r="M30" i="5"/>
  <c r="M34" i="5"/>
  <c r="G42" i="5"/>
  <c r="M44" i="5"/>
  <c r="G47" i="5"/>
  <c r="G48" i="5"/>
  <c r="M49" i="5"/>
  <c r="F24" i="2"/>
  <c r="M10" i="2"/>
  <c r="M12" i="2"/>
  <c r="E24" i="2"/>
  <c r="L24" i="2"/>
  <c r="M29" i="2"/>
  <c r="G35" i="2"/>
  <c r="E53" i="4"/>
  <c r="H154" i="7"/>
  <c r="F232" i="7"/>
  <c r="H232" i="7" s="1"/>
  <c r="F103" i="7"/>
  <c r="H52" i="7"/>
  <c r="G103" i="7"/>
  <c r="F53" i="7"/>
  <c r="F102" i="7"/>
  <c r="H77" i="7"/>
  <c r="H153" i="7"/>
  <c r="F155" i="7"/>
  <c r="H155" i="7" s="1"/>
  <c r="F179" i="7"/>
  <c r="H179" i="7" s="1"/>
  <c r="G233" i="7"/>
  <c r="F89" i="7"/>
  <c r="H89" i="7" s="1"/>
  <c r="F95" i="7"/>
  <c r="H95" i="7" s="1"/>
  <c r="F185" i="7"/>
  <c r="H185" i="7" s="1"/>
  <c r="H28" i="7"/>
  <c r="F71" i="7"/>
  <c r="H71" i="7" s="1"/>
  <c r="H124" i="7"/>
  <c r="H135" i="7"/>
  <c r="F177" i="7"/>
  <c r="H177" i="7" s="1"/>
  <c r="F230" i="7"/>
  <c r="H230" i="7" s="1"/>
  <c r="H14" i="7"/>
  <c r="H21" i="7"/>
  <c r="F29" i="7"/>
  <c r="H29" i="7" s="1"/>
  <c r="G51" i="7"/>
  <c r="G102" i="7" s="1"/>
  <c r="F59" i="7"/>
  <c r="H59" i="7" s="1"/>
  <c r="H63" i="7"/>
  <c r="H65" i="7" s="1"/>
  <c r="F83" i="7"/>
  <c r="H83" i="7" s="1"/>
  <c r="F125" i="7"/>
  <c r="H125" i="7" s="1"/>
  <c r="F152" i="7"/>
  <c r="H152" i="7" s="1"/>
  <c r="H168" i="7"/>
  <c r="H203" i="7"/>
  <c r="H210" i="7"/>
  <c r="H215" i="7"/>
  <c r="F137" i="7"/>
  <c r="H137" i="7" s="1"/>
  <c r="F23" i="7"/>
  <c r="H23" i="7" s="1"/>
  <c r="G42" i="2"/>
  <c r="M50" i="2"/>
  <c r="G26" i="2"/>
  <c r="E28" i="2"/>
  <c r="G28" i="2" s="1"/>
  <c r="M45" i="2"/>
  <c r="M47" i="2"/>
  <c r="G50" i="2"/>
  <c r="M24" i="5"/>
  <c r="G33" i="5"/>
  <c r="G39" i="5" s="1"/>
  <c r="G41" i="5"/>
  <c r="G49" i="5"/>
  <c r="M49" i="2"/>
  <c r="M40" i="5"/>
  <c r="M50" i="5"/>
  <c r="M27" i="2"/>
  <c r="M31" i="2"/>
  <c r="M38" i="4"/>
  <c r="G38" i="4"/>
  <c r="L53" i="4"/>
  <c r="G44" i="2"/>
  <c r="M18" i="2"/>
  <c r="F25" i="2"/>
  <c r="F40" i="2" s="1"/>
  <c r="M25" i="2"/>
  <c r="E27" i="2"/>
  <c r="G27" i="2" s="1"/>
  <c r="K40" i="2"/>
  <c r="G47" i="2"/>
  <c r="M18" i="3"/>
  <c r="M24" i="3" s="1"/>
  <c r="M53" i="3" s="1"/>
  <c r="M28" i="4"/>
  <c r="K38" i="4"/>
  <c r="K53" i="4" s="1"/>
  <c r="M39" i="4"/>
  <c r="M52" i="4" s="1"/>
  <c r="G25" i="4"/>
  <c r="G39" i="4"/>
  <c r="G52" i="4" s="1"/>
  <c r="E54" i="2" l="1"/>
  <c r="M39" i="5"/>
  <c r="L40" i="2"/>
  <c r="M54" i="5"/>
  <c r="M53" i="5"/>
  <c r="M24" i="2"/>
  <c r="M53" i="4"/>
  <c r="G53" i="4"/>
  <c r="F231" i="7"/>
  <c r="F104" i="7"/>
  <c r="H103" i="7"/>
  <c r="H104" i="7" s="1"/>
  <c r="G53" i="7"/>
  <c r="H51" i="7"/>
  <c r="H53" i="7" s="1"/>
  <c r="H102" i="7"/>
  <c r="G104" i="7"/>
  <c r="K55" i="2"/>
  <c r="F54" i="2"/>
  <c r="F55" i="2" s="1"/>
  <c r="M40" i="2"/>
  <c r="E40" i="2"/>
  <c r="G53" i="5"/>
  <c r="M51" i="2"/>
  <c r="M54" i="2" s="1"/>
  <c r="G25" i="2"/>
  <c r="G40" i="2" s="1"/>
  <c r="G43" i="2"/>
  <c r="G54" i="2" s="1"/>
  <c r="E55" i="2" l="1"/>
  <c r="L55" i="2"/>
  <c r="M55" i="2"/>
  <c r="H231" i="7"/>
  <c r="F233" i="7"/>
  <c r="H233" i="7" s="1"/>
  <c r="G55" i="2"/>
</calcChain>
</file>

<file path=xl/sharedStrings.xml><?xml version="1.0" encoding="utf-8"?>
<sst xmlns="http://schemas.openxmlformats.org/spreadsheetml/2006/main" count="1616" uniqueCount="667">
  <si>
    <t>&lt;첨부1&gt;</t>
    <phoneticPr fontId="4" type="noConversion"/>
  </si>
  <si>
    <t>1.총괄표</t>
    <phoneticPr fontId="4" type="noConversion"/>
  </si>
  <si>
    <t>사회복지법인 YWCA 복지사업단</t>
    <phoneticPr fontId="4" type="noConversion"/>
  </si>
  <si>
    <t>2016년도 결산총괄표</t>
    <phoneticPr fontId="4" type="noConversion"/>
  </si>
  <si>
    <t>2016. 1. 1 ~ 12. 31</t>
    <phoneticPr fontId="4" type="noConversion"/>
  </si>
  <si>
    <t>(단위:원)</t>
    <phoneticPr fontId="4" type="noConversion"/>
  </si>
  <si>
    <t>구분</t>
  </si>
  <si>
    <t>세   출</t>
  </si>
  <si>
    <t>세   입</t>
  </si>
  <si>
    <t>과      목</t>
  </si>
  <si>
    <t>예산액(A)</t>
    <phoneticPr fontId="4" type="noConversion"/>
  </si>
  <si>
    <t>결산액(B)</t>
    <phoneticPr fontId="4" type="noConversion"/>
  </si>
  <si>
    <t>차액(A-B)</t>
    <phoneticPr fontId="4" type="noConversion"/>
  </si>
  <si>
    <t>관</t>
  </si>
  <si>
    <t>항</t>
  </si>
  <si>
    <t>목</t>
  </si>
  <si>
    <t>법
인
회
계</t>
    <phoneticPr fontId="4" type="noConversion"/>
  </si>
  <si>
    <t>01사무비</t>
  </si>
  <si>
    <t>11인건비</t>
  </si>
  <si>
    <t>급여, 퇴직급여</t>
  </si>
  <si>
    <t>01재산수입</t>
    <phoneticPr fontId="4" type="noConversion"/>
  </si>
  <si>
    <t>11기본재산수입</t>
  </si>
  <si>
    <t>이자수입</t>
  </si>
  <si>
    <t xml:space="preserve">적립금, 제수당 </t>
  </si>
  <si>
    <t>12업무추진비</t>
  </si>
  <si>
    <t>기관운영비, </t>
  </si>
  <si>
    <t>02사업수입</t>
    <phoneticPr fontId="4" type="noConversion"/>
  </si>
  <si>
    <t>21사업수입</t>
  </si>
  <si>
    <t>CMS사업비</t>
    <phoneticPr fontId="4" type="noConversion"/>
  </si>
  <si>
    <t>회의비, 직원교육비</t>
    <phoneticPr fontId="4" type="noConversion"/>
  </si>
  <si>
    <t>지역복지운동</t>
    <phoneticPr fontId="4" type="noConversion"/>
  </si>
  <si>
    <t>13운영비</t>
  </si>
  <si>
    <t xml:space="preserve">교통비, 통신비 </t>
  </si>
  <si>
    <t>03보조금</t>
    <phoneticPr fontId="4" type="noConversion"/>
  </si>
  <si>
    <t>31보조금</t>
    <phoneticPr fontId="4" type="noConversion"/>
  </si>
  <si>
    <t>기타보조금</t>
    <phoneticPr fontId="4" type="noConversion"/>
  </si>
  <si>
    <t>02재산조성비</t>
    <phoneticPr fontId="4" type="noConversion"/>
  </si>
  <si>
    <t>21시설비</t>
  </si>
  <si>
    <t>자산취득비</t>
  </si>
  <si>
    <t>04후원금수입</t>
    <phoneticPr fontId="4" type="noConversion"/>
  </si>
  <si>
    <t>41후원금수입</t>
    <phoneticPr fontId="4" type="noConversion"/>
  </si>
  <si>
    <t>후원금</t>
    <phoneticPr fontId="4" type="noConversion"/>
  </si>
  <si>
    <t>03사업비</t>
  </si>
  <si>
    <t>33사업비</t>
  </si>
  <si>
    <t>사업비</t>
    <phoneticPr fontId="4" type="noConversion"/>
  </si>
  <si>
    <t>05전입금</t>
    <phoneticPr fontId="4" type="noConversion"/>
  </si>
  <si>
    <t>51전입금</t>
    <phoneticPr fontId="4" type="noConversion"/>
  </si>
  <si>
    <t>법인전입금</t>
    <phoneticPr fontId="4" type="noConversion"/>
  </si>
  <si>
    <t>04전출금</t>
  </si>
  <si>
    <t>41전출금</t>
  </si>
  <si>
    <t>지부전출금</t>
  </si>
  <si>
    <t>지부전입금</t>
    <phoneticPr fontId="4" type="noConversion"/>
  </si>
  <si>
    <t>05후원금</t>
    <phoneticPr fontId="4" type="noConversion"/>
  </si>
  <si>
    <t>51후원금</t>
    <phoneticPr fontId="4" type="noConversion"/>
  </si>
  <si>
    <t>06이월금</t>
    <phoneticPr fontId="4" type="noConversion"/>
  </si>
  <si>
    <t>61이월금</t>
    <phoneticPr fontId="4" type="noConversion"/>
  </si>
  <si>
    <t>이월금</t>
    <phoneticPr fontId="4" type="noConversion"/>
  </si>
  <si>
    <t>07잡지출</t>
    <phoneticPr fontId="4" type="noConversion"/>
  </si>
  <si>
    <t>잡지출</t>
    <phoneticPr fontId="4" type="noConversion"/>
  </si>
  <si>
    <t>07잡수입</t>
    <phoneticPr fontId="4" type="noConversion"/>
  </si>
  <si>
    <t>71잡수입</t>
    <phoneticPr fontId="4" type="noConversion"/>
  </si>
  <si>
    <t>잡수입</t>
    <phoneticPr fontId="4" type="noConversion"/>
  </si>
  <si>
    <t>08예비비</t>
    <phoneticPr fontId="4" type="noConversion"/>
  </si>
  <si>
    <t>81예비비</t>
    <phoneticPr fontId="4" type="noConversion"/>
  </si>
  <si>
    <t>예비비</t>
    <phoneticPr fontId="4" type="noConversion"/>
  </si>
  <si>
    <t>08예수금</t>
    <phoneticPr fontId="4" type="noConversion"/>
  </si>
  <si>
    <t>81예수금</t>
    <phoneticPr fontId="4" type="noConversion"/>
  </si>
  <si>
    <t>예수금</t>
    <phoneticPr fontId="4" type="noConversion"/>
  </si>
  <si>
    <t>10예수금</t>
    <phoneticPr fontId="4" type="noConversion"/>
  </si>
  <si>
    <t>101예수금</t>
    <phoneticPr fontId="4" type="noConversion"/>
  </si>
  <si>
    <t>00예수금</t>
    <phoneticPr fontId="4" type="noConversion"/>
  </si>
  <si>
    <t>09미지급금</t>
    <phoneticPr fontId="4" type="noConversion"/>
  </si>
  <si>
    <t>91미지급금</t>
    <phoneticPr fontId="4" type="noConversion"/>
  </si>
  <si>
    <t>미지급금</t>
    <phoneticPr fontId="4" type="noConversion"/>
  </si>
  <si>
    <t>11미지급금</t>
    <phoneticPr fontId="4" type="noConversion"/>
  </si>
  <si>
    <t>111미지급금</t>
    <phoneticPr fontId="4" type="noConversion"/>
  </si>
  <si>
    <t>12차기이월금</t>
    <phoneticPr fontId="4" type="noConversion"/>
  </si>
  <si>
    <t>121차기이월금</t>
    <phoneticPr fontId="4" type="noConversion"/>
  </si>
  <si>
    <t>차기이월금</t>
    <phoneticPr fontId="13" type="noConversion"/>
  </si>
  <si>
    <t>소계</t>
  </si>
  <si>
    <t>시
설
회
계</t>
    <phoneticPr fontId="4" type="noConversion"/>
  </si>
  <si>
    <t>인건비</t>
  </si>
  <si>
    <t>01사업수입</t>
    <phoneticPr fontId="4" type="noConversion"/>
  </si>
  <si>
    <t>11사업수입</t>
    <phoneticPr fontId="4" type="noConversion"/>
  </si>
  <si>
    <t>사업수입</t>
    <phoneticPr fontId="4" type="noConversion"/>
  </si>
  <si>
    <t>업무추진비</t>
  </si>
  <si>
    <t>운영비</t>
  </si>
  <si>
    <t>03보조금 수입</t>
    <phoneticPr fontId="4" type="noConversion"/>
  </si>
  <si>
    <r>
      <t xml:space="preserve">31보조금수입
</t>
    </r>
    <r>
      <rPr>
        <sz val="8"/>
        <color indexed="12"/>
        <rFont val="맑은 고딕"/>
        <family val="3"/>
        <charset val="129"/>
      </rPr>
      <t>(※반드시 국고,시도,시군구,기타 보조금 분리하여 작성)</t>
    </r>
    <phoneticPr fontId="4" type="noConversion"/>
  </si>
  <si>
    <t>국고보조금</t>
    <phoneticPr fontId="4" type="noConversion"/>
  </si>
  <si>
    <t>02재산조성비</t>
  </si>
  <si>
    <t>시설비, 자산취득비 등</t>
  </si>
  <si>
    <t>시도보조금</t>
    <phoneticPr fontId="4" type="noConversion"/>
  </si>
  <si>
    <t>03사업비</t>
    <phoneticPr fontId="4" type="noConversion"/>
  </si>
  <si>
    <t>31 사업비</t>
    <phoneticPr fontId="4" type="noConversion"/>
  </si>
  <si>
    <t>시군구보조금</t>
    <phoneticPr fontId="4" type="noConversion"/>
  </si>
  <si>
    <t>전출금</t>
  </si>
  <si>
    <t>지정후원금</t>
    <phoneticPr fontId="4" type="noConversion"/>
  </si>
  <si>
    <t>05과년도지출</t>
  </si>
  <si>
    <t>51과년도지출</t>
  </si>
  <si>
    <t>과년도지출</t>
  </si>
  <si>
    <t>비지정후원금</t>
    <phoneticPr fontId="4" type="noConversion"/>
  </si>
  <si>
    <t>06상환금</t>
    <phoneticPr fontId="4" type="noConversion"/>
  </si>
  <si>
    <t>61상환금</t>
    <phoneticPr fontId="4" type="noConversion"/>
  </si>
  <si>
    <t>원금상환금</t>
    <phoneticPr fontId="4" type="noConversion"/>
  </si>
  <si>
    <t>05과년도수입</t>
    <phoneticPr fontId="4" type="noConversion"/>
  </si>
  <si>
    <t>51과년도수입</t>
    <phoneticPr fontId="4" type="noConversion"/>
  </si>
  <si>
    <t>과년도수입</t>
    <phoneticPr fontId="4" type="noConversion"/>
  </si>
  <si>
    <t>07잡지출</t>
  </si>
  <si>
    <t>71잡지출</t>
  </si>
  <si>
    <t>잡지출</t>
  </si>
  <si>
    <t>06전입금</t>
    <phoneticPr fontId="4" type="noConversion"/>
  </si>
  <si>
    <t>61전입금</t>
    <phoneticPr fontId="4" type="noConversion"/>
  </si>
  <si>
    <t>법인전입금</t>
  </si>
  <si>
    <t>08예비비</t>
    <phoneticPr fontId="13" type="noConversion"/>
  </si>
  <si>
    <t>목적사업전입금</t>
    <phoneticPr fontId="13" type="noConversion"/>
  </si>
  <si>
    <t>09적립금</t>
    <phoneticPr fontId="4" type="noConversion"/>
  </si>
  <si>
    <t>91운영충당적립금</t>
    <phoneticPr fontId="4" type="noConversion"/>
  </si>
  <si>
    <t>운영충당적립금</t>
    <phoneticPr fontId="4" type="noConversion"/>
  </si>
  <si>
    <t>07이월금</t>
    <phoneticPr fontId="13" type="noConversion"/>
  </si>
  <si>
    <t>71이월금</t>
    <phoneticPr fontId="13" type="noConversion"/>
  </si>
  <si>
    <t>전년도이월금</t>
    <phoneticPr fontId="4" type="noConversion"/>
  </si>
  <si>
    <t>10준비금</t>
    <phoneticPr fontId="4" type="noConversion"/>
  </si>
  <si>
    <t>101준비금</t>
    <phoneticPr fontId="4" type="noConversion"/>
  </si>
  <si>
    <t>시설환경개선준비금</t>
    <phoneticPr fontId="4" type="noConversion"/>
  </si>
  <si>
    <t>08잡수입</t>
    <phoneticPr fontId="4" type="noConversion"/>
  </si>
  <si>
    <t>81잡수입</t>
    <phoneticPr fontId="4" type="noConversion"/>
  </si>
  <si>
    <t>기타잡수입</t>
  </si>
  <si>
    <t>목적사업준비금</t>
    <phoneticPr fontId="4" type="noConversion"/>
  </si>
  <si>
    <t>11차기이월</t>
    <phoneticPr fontId="13" type="noConversion"/>
  </si>
  <si>
    <t>111차기이월</t>
    <phoneticPr fontId="13" type="noConversion"/>
  </si>
  <si>
    <t>특
별
회
계</t>
    <phoneticPr fontId="4" type="noConversion"/>
  </si>
  <si>
    <t>급여, 제수당</t>
  </si>
  <si>
    <t>01입소자부담금수입</t>
    <phoneticPr fontId="4" type="noConversion"/>
  </si>
  <si>
    <t>11입소비용수입</t>
    <phoneticPr fontId="4" type="noConversion"/>
  </si>
  <si>
    <t>입소비용수입</t>
    <phoneticPr fontId="4" type="noConversion"/>
  </si>
  <si>
    <t>회의비, 공공요금</t>
  </si>
  <si>
    <t>02사업수입</t>
    <phoneticPr fontId="4" type="noConversion"/>
  </si>
  <si>
    <t>21사업수입</t>
    <phoneticPr fontId="4" type="noConversion"/>
  </si>
  <si>
    <t>사업수입</t>
    <phoneticPr fontId="4" type="noConversion"/>
  </si>
  <si>
    <t>관리운영비</t>
  </si>
  <si>
    <t>03과년도수입</t>
    <phoneticPr fontId="4" type="noConversion"/>
  </si>
  <si>
    <t>31과년도수입</t>
    <phoneticPr fontId="4" type="noConversion"/>
  </si>
  <si>
    <t>자산취득비,시설비</t>
  </si>
  <si>
    <t>04보조금수입</t>
    <phoneticPr fontId="4" type="noConversion"/>
  </si>
  <si>
    <t>41보조금</t>
    <phoneticPr fontId="4" type="noConversion"/>
  </si>
  <si>
    <t>보조금</t>
    <phoneticPr fontId="4" type="noConversion"/>
  </si>
  <si>
    <t>33사업비</t>
    <phoneticPr fontId="4" type="noConversion"/>
  </si>
  <si>
    <t>05후원금수입</t>
    <phoneticPr fontId="4" type="noConversion"/>
  </si>
  <si>
    <t>51후원금수입</t>
    <phoneticPr fontId="4" type="noConversion"/>
  </si>
  <si>
    <t>후원금</t>
  </si>
  <si>
    <t>04전출금</t>
    <phoneticPr fontId="4" type="noConversion"/>
  </si>
  <si>
    <t>41전출금</t>
    <phoneticPr fontId="4" type="noConversion"/>
  </si>
  <si>
    <t>전출금</t>
    <phoneticPr fontId="4" type="noConversion"/>
  </si>
  <si>
    <t>06요양급여수입</t>
    <phoneticPr fontId="4" type="noConversion"/>
  </si>
  <si>
    <t>61요양급여수입</t>
    <phoneticPr fontId="4" type="noConversion"/>
  </si>
  <si>
    <t>07차입급</t>
    <phoneticPr fontId="4" type="noConversion"/>
  </si>
  <si>
    <t>71차입금</t>
    <phoneticPr fontId="4" type="noConversion"/>
  </si>
  <si>
    <t>차입금</t>
    <phoneticPr fontId="4" type="noConversion"/>
  </si>
  <si>
    <t>08전입금</t>
    <phoneticPr fontId="4" type="noConversion"/>
  </si>
  <si>
    <t>81전입금</t>
    <phoneticPr fontId="4" type="noConversion"/>
  </si>
  <si>
    <t>법인전입금</t>
    <phoneticPr fontId="4" type="noConversion"/>
  </si>
  <si>
    <t>08반환금</t>
    <phoneticPr fontId="4" type="noConversion"/>
  </si>
  <si>
    <t>81반환금</t>
    <phoneticPr fontId="4" type="noConversion"/>
  </si>
  <si>
    <t>반환금</t>
    <phoneticPr fontId="4" type="noConversion"/>
  </si>
  <si>
    <t>09이월금</t>
    <phoneticPr fontId="4" type="noConversion"/>
  </si>
  <si>
    <t>91이월금</t>
    <phoneticPr fontId="4" type="noConversion"/>
  </si>
  <si>
    <t>전년이월금등</t>
    <phoneticPr fontId="4" type="noConversion"/>
  </si>
  <si>
    <t>09예비비</t>
    <phoneticPr fontId="4" type="noConversion"/>
  </si>
  <si>
    <t>91예비비</t>
    <phoneticPr fontId="4" type="noConversion"/>
  </si>
  <si>
    <t>예비비</t>
    <phoneticPr fontId="4" type="noConversion"/>
  </si>
  <si>
    <t>10잡수입</t>
    <phoneticPr fontId="4" type="noConversion"/>
  </si>
  <si>
    <t>101잡수입</t>
    <phoneticPr fontId="4" type="noConversion"/>
  </si>
  <si>
    <t>이자수입등</t>
    <phoneticPr fontId="4" type="noConversion"/>
  </si>
  <si>
    <t>10차기이월</t>
    <phoneticPr fontId="4" type="noConversion"/>
  </si>
  <si>
    <t>101차기이월</t>
    <phoneticPr fontId="4" type="noConversion"/>
  </si>
  <si>
    <t>소계</t>
    <phoneticPr fontId="4" type="noConversion"/>
  </si>
  <si>
    <t>소계</t>
    <phoneticPr fontId="4" type="noConversion"/>
  </si>
  <si>
    <t>총계</t>
  </si>
  <si>
    <t xml:space="preserve">                                                    </t>
  </si>
  <si>
    <t>사회복지법인 YWCA 복지사업단 본부사무국</t>
    <phoneticPr fontId="4" type="noConversion"/>
  </si>
  <si>
    <t>06잡지출</t>
    <phoneticPr fontId="4" type="noConversion"/>
  </si>
  <si>
    <t>61잡지출</t>
    <phoneticPr fontId="4" type="noConversion"/>
  </si>
  <si>
    <t>07예비비</t>
    <phoneticPr fontId="4" type="noConversion"/>
  </si>
  <si>
    <t>71예비비</t>
    <phoneticPr fontId="4" type="noConversion"/>
  </si>
  <si>
    <t>10차기이월금</t>
    <phoneticPr fontId="4" type="noConversion"/>
  </si>
  <si>
    <t>101차기이월금</t>
    <phoneticPr fontId="4" type="noConversion"/>
  </si>
  <si>
    <t>00사업수입</t>
    <phoneticPr fontId="4" type="noConversion"/>
  </si>
  <si>
    <t>00사업비</t>
    <phoneticPr fontId="4" type="noConversion"/>
  </si>
  <si>
    <t>05차입금</t>
    <phoneticPr fontId="4" type="noConversion"/>
  </si>
  <si>
    <t>51차입금</t>
    <phoneticPr fontId="4" type="noConversion"/>
  </si>
  <si>
    <t>차입금</t>
    <phoneticPr fontId="4" type="noConversion"/>
  </si>
  <si>
    <t>21사업수입</t>
    <phoneticPr fontId="4" type="noConversion"/>
  </si>
  <si>
    <t>04보조금수입</t>
    <phoneticPr fontId="4" type="noConversion"/>
  </si>
  <si>
    <t>41보조금</t>
    <phoneticPr fontId="4" type="noConversion"/>
  </si>
  <si>
    <t>보조금</t>
    <phoneticPr fontId="4" type="noConversion"/>
  </si>
  <si>
    <t>04전출금</t>
    <phoneticPr fontId="4" type="noConversion"/>
  </si>
  <si>
    <t>41전출금</t>
    <phoneticPr fontId="4" type="noConversion"/>
  </si>
  <si>
    <t>전출금</t>
    <phoneticPr fontId="4" type="noConversion"/>
  </si>
  <si>
    <t>06요양급여수입</t>
    <phoneticPr fontId="4" type="noConversion"/>
  </si>
  <si>
    <t>61요양급여수입</t>
    <phoneticPr fontId="4" type="noConversion"/>
  </si>
  <si>
    <t>07차입급</t>
    <phoneticPr fontId="4" type="noConversion"/>
  </si>
  <si>
    <t>71차입금</t>
    <phoneticPr fontId="4" type="noConversion"/>
  </si>
  <si>
    <t>08전입금</t>
    <phoneticPr fontId="4" type="noConversion"/>
  </si>
  <si>
    <t>81전입금</t>
    <phoneticPr fontId="4" type="noConversion"/>
  </si>
  <si>
    <t>09이월금</t>
    <phoneticPr fontId="4" type="noConversion"/>
  </si>
  <si>
    <t>91이월금</t>
    <phoneticPr fontId="4" type="noConversion"/>
  </si>
  <si>
    <t>전년이월금등</t>
    <phoneticPr fontId="4" type="noConversion"/>
  </si>
  <si>
    <t>09예비비</t>
    <phoneticPr fontId="4" type="noConversion"/>
  </si>
  <si>
    <t>91예비비</t>
    <phoneticPr fontId="4" type="noConversion"/>
  </si>
  <si>
    <t>10잡수입</t>
    <phoneticPr fontId="4" type="noConversion"/>
  </si>
  <si>
    <t>101잡수입</t>
    <phoneticPr fontId="4" type="noConversion"/>
  </si>
  <si>
    <t>이자수입등</t>
    <phoneticPr fontId="4" type="noConversion"/>
  </si>
  <si>
    <t>소계</t>
    <phoneticPr fontId="4" type="noConversion"/>
  </si>
  <si>
    <t>&lt;첨부1&gt;</t>
    <phoneticPr fontId="4" type="noConversion"/>
  </si>
  <si>
    <t>1.총괄표</t>
    <phoneticPr fontId="4" type="noConversion"/>
  </si>
  <si>
    <t>사회복지법인 YWCA 복지사업단-서울지부</t>
    <phoneticPr fontId="4" type="noConversion"/>
  </si>
  <si>
    <t>예산액</t>
    <phoneticPr fontId="4" type="noConversion"/>
  </si>
  <si>
    <t>결산액</t>
    <phoneticPr fontId="4" type="noConversion"/>
  </si>
  <si>
    <t>잔액</t>
    <phoneticPr fontId="4" type="noConversion"/>
  </si>
  <si>
    <t>법
인
회
계</t>
    <phoneticPr fontId="4" type="noConversion"/>
  </si>
  <si>
    <t>12업무추진비</t>
    <phoneticPr fontId="4" type="noConversion"/>
  </si>
  <si>
    <t>후원금등</t>
    <phoneticPr fontId="4" type="noConversion"/>
  </si>
  <si>
    <t>06차입금</t>
    <phoneticPr fontId="4" type="noConversion"/>
  </si>
  <si>
    <t>61차입금</t>
    <phoneticPr fontId="4" type="noConversion"/>
  </si>
  <si>
    <t>기타차입금</t>
    <phoneticPr fontId="4" type="noConversion"/>
  </si>
  <si>
    <t>07전입금</t>
    <phoneticPr fontId="4" type="noConversion"/>
  </si>
  <si>
    <t>71전입금</t>
    <phoneticPr fontId="4" type="noConversion"/>
  </si>
  <si>
    <t>61부채상환금</t>
    <phoneticPr fontId="4" type="noConversion"/>
  </si>
  <si>
    <t>08이월금</t>
    <phoneticPr fontId="4" type="noConversion"/>
  </si>
  <si>
    <t>81이월금</t>
    <phoneticPr fontId="4" type="noConversion"/>
  </si>
  <si>
    <t>09잡수입</t>
    <phoneticPr fontId="4" type="noConversion"/>
  </si>
  <si>
    <t>91잡수입</t>
    <phoneticPr fontId="4" type="noConversion"/>
  </si>
  <si>
    <t>기타예금이자수입</t>
    <phoneticPr fontId="4" type="noConversion"/>
  </si>
  <si>
    <t>00차기이월금</t>
    <phoneticPr fontId="4" type="noConversion"/>
  </si>
  <si>
    <t>기타잡수입</t>
    <phoneticPr fontId="4" type="noConversion"/>
  </si>
  <si>
    <r>
      <t xml:space="preserve">31보조금수입
</t>
    </r>
    <r>
      <rPr>
        <sz val="10"/>
        <color indexed="12"/>
        <rFont val="맑은 고딕"/>
        <family val="3"/>
        <charset val="129"/>
      </rPr>
      <t>(※반드시 국고,시도,시군구,기타 보조금 분리하여 작성)</t>
    </r>
    <phoneticPr fontId="4" type="noConversion"/>
  </si>
  <si>
    <t>07이월금</t>
    <phoneticPr fontId="4" type="noConversion"/>
  </si>
  <si>
    <t>71이월금</t>
    <phoneticPr fontId="4" type="noConversion"/>
  </si>
  <si>
    <t>전년도이월금 등</t>
    <phoneticPr fontId="4" type="noConversion"/>
  </si>
  <si>
    <t>11차기이월금</t>
    <phoneticPr fontId="4" type="noConversion"/>
  </si>
  <si>
    <t>111차기이월금</t>
    <phoneticPr fontId="4" type="noConversion"/>
  </si>
  <si>
    <t>차기이월금</t>
    <phoneticPr fontId="4" type="noConversion"/>
  </si>
  <si>
    <t>특
별
회
계</t>
    <phoneticPr fontId="4" type="noConversion"/>
  </si>
  <si>
    <t>01입소자부담금수입</t>
    <phoneticPr fontId="4" type="noConversion"/>
  </si>
  <si>
    <t>11입소비용수입</t>
    <phoneticPr fontId="4" type="noConversion"/>
  </si>
  <si>
    <t>입소비용수입</t>
    <phoneticPr fontId="4" type="noConversion"/>
  </si>
  <si>
    <t>02사업수입</t>
    <phoneticPr fontId="4" type="noConversion"/>
  </si>
  <si>
    <t>21사업수입</t>
    <phoneticPr fontId="4" type="noConversion"/>
  </si>
  <si>
    <t>사업수입</t>
    <phoneticPr fontId="4" type="noConversion"/>
  </si>
  <si>
    <t>03과년도수입</t>
    <phoneticPr fontId="4" type="noConversion"/>
  </si>
  <si>
    <t>31과년도수입</t>
    <phoneticPr fontId="4" type="noConversion"/>
  </si>
  <si>
    <t>과년도수입</t>
    <phoneticPr fontId="4" type="noConversion"/>
  </si>
  <si>
    <t>04보조금수입</t>
    <phoneticPr fontId="4" type="noConversion"/>
  </si>
  <si>
    <t>41보조금</t>
    <phoneticPr fontId="4" type="noConversion"/>
  </si>
  <si>
    <t>보조금</t>
    <phoneticPr fontId="4" type="noConversion"/>
  </si>
  <si>
    <t>05후원금수입</t>
    <phoneticPr fontId="4" type="noConversion"/>
  </si>
  <si>
    <t>51후원금수입</t>
    <phoneticPr fontId="4" type="noConversion"/>
  </si>
  <si>
    <t>08전입금</t>
    <phoneticPr fontId="4" type="noConversion"/>
  </si>
  <si>
    <t>81전입금</t>
    <phoneticPr fontId="4" type="noConversion"/>
  </si>
  <si>
    <t>법인전입금</t>
    <phoneticPr fontId="4" type="noConversion"/>
  </si>
  <si>
    <t>09이월금</t>
    <phoneticPr fontId="4" type="noConversion"/>
  </si>
  <si>
    <t>91이월금</t>
    <phoneticPr fontId="4" type="noConversion"/>
  </si>
  <si>
    <t>전년이월금등</t>
    <phoneticPr fontId="4" type="noConversion"/>
  </si>
  <si>
    <t>09예비비</t>
    <phoneticPr fontId="4" type="noConversion"/>
  </si>
  <si>
    <t>91예비비</t>
    <phoneticPr fontId="4" type="noConversion"/>
  </si>
  <si>
    <t>예비비</t>
    <phoneticPr fontId="4" type="noConversion"/>
  </si>
  <si>
    <t>10잡수입</t>
    <phoneticPr fontId="4" type="noConversion"/>
  </si>
  <si>
    <t>101잡수입</t>
    <phoneticPr fontId="4" type="noConversion"/>
  </si>
  <si>
    <t>이자수입등</t>
    <phoneticPr fontId="4" type="noConversion"/>
  </si>
  <si>
    <t>10차기이월금</t>
    <phoneticPr fontId="4" type="noConversion"/>
  </si>
  <si>
    <t>101차기이월금</t>
    <phoneticPr fontId="4" type="noConversion"/>
  </si>
  <si>
    <t>차기이월금</t>
    <phoneticPr fontId="4" type="noConversion"/>
  </si>
  <si>
    <t>소계</t>
    <phoneticPr fontId="4" type="noConversion"/>
  </si>
  <si>
    <t>소계</t>
    <phoneticPr fontId="4" type="noConversion"/>
  </si>
  <si>
    <t>&lt;첨부1&gt;</t>
  </si>
  <si>
    <t>1.총괄표</t>
  </si>
  <si>
    <t>사회복지법인 YWCA 복지사업단-부산지부(총괄)</t>
    <phoneticPr fontId="4" type="noConversion"/>
  </si>
  <si>
    <t>2016년도 결산총괄표</t>
  </si>
  <si>
    <t>2016. 1. 1 ~ 12. 31</t>
  </si>
  <si>
    <t>(단위:원)</t>
  </si>
  <si>
    <t>예산액</t>
  </si>
  <si>
    <t>결산액</t>
  </si>
  <si>
    <t>증감</t>
    <phoneticPr fontId="13" type="noConversion"/>
  </si>
  <si>
    <t>법
인
회
계</t>
  </si>
  <si>
    <t>01재산수입</t>
  </si>
  <si>
    <t>02사업수입</t>
  </si>
  <si>
    <t>사업수입</t>
  </si>
  <si>
    <t>회의비, 직원교육비</t>
  </si>
  <si>
    <t>05후원금수입</t>
  </si>
  <si>
    <t>51후원금수입</t>
  </si>
  <si>
    <t>후원금등</t>
  </si>
  <si>
    <t>06차입금</t>
  </si>
  <si>
    <t>61차입금</t>
  </si>
  <si>
    <t>기타차입금</t>
  </si>
  <si>
    <t>사업비</t>
  </si>
  <si>
    <t>07전입금</t>
  </si>
  <si>
    <t>71전입금</t>
  </si>
  <si>
    <t>지부전입금</t>
  </si>
  <si>
    <t>06상환금</t>
  </si>
  <si>
    <t>61부채상환금</t>
  </si>
  <si>
    <t>원금상환금</t>
  </si>
  <si>
    <t>08이월금</t>
  </si>
  <si>
    <t>81이월금</t>
  </si>
  <si>
    <t>전년도이월금</t>
  </si>
  <si>
    <t>08이월금</t>
    <phoneticPr fontId="4" type="noConversion"/>
  </si>
  <si>
    <t>81이월금</t>
    <phoneticPr fontId="4" type="noConversion"/>
  </si>
  <si>
    <t>차기이월금</t>
    <phoneticPr fontId="4" type="noConversion"/>
  </si>
  <si>
    <t>09잡수입</t>
  </si>
  <si>
    <t>91잡수입</t>
  </si>
  <si>
    <t>10준비금</t>
  </si>
  <si>
    <t>101준비금</t>
  </si>
  <si>
    <t>00준비금</t>
  </si>
  <si>
    <t>시
설
회
계</t>
  </si>
  <si>
    <t>01사업수입</t>
  </si>
  <si>
    <t>11사업수입</t>
  </si>
  <si>
    <t>00사업수입</t>
  </si>
  <si>
    <t>02과년도수입</t>
    <phoneticPr fontId="13" type="noConversion"/>
  </si>
  <si>
    <t>21과년도수입</t>
    <phoneticPr fontId="13" type="noConversion"/>
  </si>
  <si>
    <t>과년도수입</t>
    <phoneticPr fontId="13" type="noConversion"/>
  </si>
  <si>
    <t>03보조금 수입</t>
  </si>
  <si>
    <r>
      <t xml:space="preserve">31보조금수입
</t>
    </r>
    <r>
      <rPr>
        <sz val="8"/>
        <color indexed="12"/>
        <rFont val="맑은 고딕"/>
        <family val="3"/>
        <charset val="129"/>
      </rPr>
      <t>(※반드시 국고,시도,시군구,기타 보조금 분리하여 작성)</t>
    </r>
  </si>
  <si>
    <t>국고보조금</t>
  </si>
  <si>
    <t>시도보조금</t>
  </si>
  <si>
    <t>31 사업비</t>
  </si>
  <si>
    <t>00사업비</t>
  </si>
  <si>
    <t>시군구보조금</t>
  </si>
  <si>
    <t>기타보조금</t>
  </si>
  <si>
    <t>04후원금수입</t>
  </si>
  <si>
    <t>41후원금수입</t>
  </si>
  <si>
    <t>지정후원금</t>
  </si>
  <si>
    <t>비지정후원금</t>
  </si>
  <si>
    <t>61상환금</t>
  </si>
  <si>
    <t>05차입금</t>
  </si>
  <si>
    <t>51차입금</t>
  </si>
  <si>
    <t>차입금</t>
  </si>
  <si>
    <t>06전입금</t>
  </si>
  <si>
    <t>61전입금</t>
  </si>
  <si>
    <t>08예비비</t>
  </si>
  <si>
    <t>81예비비</t>
  </si>
  <si>
    <t>예비비</t>
  </si>
  <si>
    <t>07이월금</t>
  </si>
  <si>
    <t>71이월금</t>
  </si>
  <si>
    <t>전년도이월금 등</t>
  </si>
  <si>
    <t>반환금</t>
    <phoneticPr fontId="13" type="noConversion"/>
  </si>
  <si>
    <t>09적립금</t>
  </si>
  <si>
    <t>91운영충당적립금</t>
  </si>
  <si>
    <t>운영충당적립금</t>
  </si>
  <si>
    <t>시설환경개선준비금</t>
  </si>
  <si>
    <t>08잡수입</t>
  </si>
  <si>
    <t>81잡수입</t>
  </si>
  <si>
    <t>목적사업준비금</t>
  </si>
  <si>
    <t>11이월금</t>
    <phoneticPr fontId="4" type="noConversion"/>
  </si>
  <si>
    <t>111이월금</t>
    <phoneticPr fontId="4" type="noConversion"/>
  </si>
  <si>
    <t>차년도이월금</t>
    <phoneticPr fontId="4" type="noConversion"/>
  </si>
  <si>
    <t>특
별
회
계</t>
  </si>
  <si>
    <t>01입소자부담금수입</t>
  </si>
  <si>
    <t>11입소비용수입</t>
  </si>
  <si>
    <t>입소비용수입</t>
  </si>
  <si>
    <t xml:space="preserve">회의비, </t>
  </si>
  <si>
    <t>관리운영비,공공요금</t>
  </si>
  <si>
    <t>03과년도수입</t>
  </si>
  <si>
    <t>31과년도수입</t>
  </si>
  <si>
    <t>과년도수입</t>
  </si>
  <si>
    <t>04보조금수입</t>
  </si>
  <si>
    <t>41보조금</t>
  </si>
  <si>
    <t>보조금</t>
  </si>
  <si>
    <t>06요양급여수입</t>
  </si>
  <si>
    <t>61요양급여수입</t>
  </si>
  <si>
    <t>07차입급</t>
  </si>
  <si>
    <t>71차입금</t>
  </si>
  <si>
    <t>08전입금</t>
  </si>
  <si>
    <t>81전입금</t>
  </si>
  <si>
    <t>08반환금</t>
  </si>
  <si>
    <t>81반환금</t>
  </si>
  <si>
    <t>반환금</t>
  </si>
  <si>
    <t>09이월금</t>
  </si>
  <si>
    <t>91이월금</t>
  </si>
  <si>
    <t>전년이월금등</t>
  </si>
  <si>
    <t>09예비비</t>
  </si>
  <si>
    <t>91예비비</t>
  </si>
  <si>
    <t>10잡수입</t>
  </si>
  <si>
    <t>101잡수입</t>
  </si>
  <si>
    <t>이자수입등</t>
  </si>
  <si>
    <t>&lt;첨부1&gt;</t>
    <phoneticPr fontId="4" type="noConversion"/>
  </si>
  <si>
    <t>1.총괄표</t>
    <phoneticPr fontId="4" type="noConversion"/>
  </si>
  <si>
    <t>사회복지법인 YWCA 복지사업단-울산지부</t>
    <phoneticPr fontId="4" type="noConversion"/>
  </si>
  <si>
    <t>2016년도 결산총괄표</t>
    <phoneticPr fontId="4" type="noConversion"/>
  </si>
  <si>
    <t>2016. 1. 1 ~ 12. 31</t>
    <phoneticPr fontId="4" type="noConversion"/>
  </si>
  <si>
    <t>(단위:원)</t>
    <phoneticPr fontId="4" type="noConversion"/>
  </si>
  <si>
    <t>예산액</t>
    <phoneticPr fontId="4" type="noConversion"/>
  </si>
  <si>
    <t>결산액</t>
    <phoneticPr fontId="4" type="noConversion"/>
  </si>
  <si>
    <t>잔액</t>
    <phoneticPr fontId="4" type="noConversion"/>
  </si>
  <si>
    <t>법
인
회
계</t>
    <phoneticPr fontId="4" type="noConversion"/>
  </si>
  <si>
    <t>01재산수입</t>
    <phoneticPr fontId="4" type="noConversion"/>
  </si>
  <si>
    <t>02사업수입</t>
    <phoneticPr fontId="4" type="noConversion"/>
  </si>
  <si>
    <t>사업수입</t>
    <phoneticPr fontId="4" type="noConversion"/>
  </si>
  <si>
    <t>회의비, 직원교육비</t>
    <phoneticPr fontId="4" type="noConversion"/>
  </si>
  <si>
    <t>05후원금수입</t>
    <phoneticPr fontId="4" type="noConversion"/>
  </si>
  <si>
    <t>51후원금수입</t>
    <phoneticPr fontId="4" type="noConversion"/>
  </si>
  <si>
    <t>후원금등</t>
    <phoneticPr fontId="4" type="noConversion"/>
  </si>
  <si>
    <t>02재산조성비</t>
    <phoneticPr fontId="4" type="noConversion"/>
  </si>
  <si>
    <t>06차입금</t>
    <phoneticPr fontId="4" type="noConversion"/>
  </si>
  <si>
    <t>61차입금</t>
    <phoneticPr fontId="4" type="noConversion"/>
  </si>
  <si>
    <t>기타차입금</t>
    <phoneticPr fontId="4" type="noConversion"/>
  </si>
  <si>
    <t>사업비</t>
    <phoneticPr fontId="4" type="noConversion"/>
  </si>
  <si>
    <t>07전입금</t>
    <phoneticPr fontId="4" type="noConversion"/>
  </si>
  <si>
    <t>71전입금</t>
    <phoneticPr fontId="4" type="noConversion"/>
  </si>
  <si>
    <t>법인전입금</t>
    <phoneticPr fontId="4" type="noConversion"/>
  </si>
  <si>
    <t>지부전입금</t>
    <phoneticPr fontId="4" type="noConversion"/>
  </si>
  <si>
    <t>06상환금</t>
    <phoneticPr fontId="4" type="noConversion"/>
  </si>
  <si>
    <t>61부채상환금</t>
    <phoneticPr fontId="4" type="noConversion"/>
  </si>
  <si>
    <t>원금상환금</t>
    <phoneticPr fontId="4" type="noConversion"/>
  </si>
  <si>
    <t>전년도이월금</t>
    <phoneticPr fontId="4" type="noConversion"/>
  </si>
  <si>
    <t>07잡지출</t>
    <phoneticPr fontId="4" type="noConversion"/>
  </si>
  <si>
    <t>잡지출</t>
    <phoneticPr fontId="4" type="noConversion"/>
  </si>
  <si>
    <t>08예비비</t>
    <phoneticPr fontId="4" type="noConversion"/>
  </si>
  <si>
    <t>81예비비</t>
    <phoneticPr fontId="4" type="noConversion"/>
  </si>
  <si>
    <t>예비비</t>
    <phoneticPr fontId="4" type="noConversion"/>
  </si>
  <si>
    <t>09잡수입</t>
    <phoneticPr fontId="4" type="noConversion"/>
  </si>
  <si>
    <t>91잡수입</t>
    <phoneticPr fontId="4" type="noConversion"/>
  </si>
  <si>
    <t>기타예금이자수입</t>
    <phoneticPr fontId="4" type="noConversion"/>
  </si>
  <si>
    <t>10준비금</t>
    <phoneticPr fontId="4" type="noConversion"/>
  </si>
  <si>
    <t>101준비금</t>
    <phoneticPr fontId="4" type="noConversion"/>
  </si>
  <si>
    <t>00준비금</t>
    <phoneticPr fontId="4" type="noConversion"/>
  </si>
  <si>
    <t>기타잡수입</t>
    <phoneticPr fontId="4" type="noConversion"/>
  </si>
  <si>
    <t>시
설
회
계</t>
    <phoneticPr fontId="4" type="noConversion"/>
  </si>
  <si>
    <t>01사업수입</t>
    <phoneticPr fontId="4" type="noConversion"/>
  </si>
  <si>
    <t>11사업수입</t>
    <phoneticPr fontId="4" type="noConversion"/>
  </si>
  <si>
    <t>00사업수입</t>
    <phoneticPr fontId="4" type="noConversion"/>
  </si>
  <si>
    <t>03보조금 수입</t>
    <phoneticPr fontId="4" type="noConversion"/>
  </si>
  <si>
    <r>
      <t xml:space="preserve">31보조금수입
</t>
    </r>
    <r>
      <rPr>
        <sz val="8"/>
        <color indexed="12"/>
        <rFont val="맑은 고딕"/>
        <family val="3"/>
        <charset val="129"/>
      </rPr>
      <t>(※반드시 국고,시도,시군구,기타 보조금 분리하여 작성)</t>
    </r>
    <phoneticPr fontId="4" type="noConversion"/>
  </si>
  <si>
    <t>국고보조금</t>
    <phoneticPr fontId="4" type="noConversion"/>
  </si>
  <si>
    <t>시도보조금</t>
    <phoneticPr fontId="4" type="noConversion"/>
  </si>
  <si>
    <t>03사업비</t>
    <phoneticPr fontId="4" type="noConversion"/>
  </si>
  <si>
    <t>31 사업비</t>
    <phoneticPr fontId="4" type="noConversion"/>
  </si>
  <si>
    <t>00사업비</t>
    <phoneticPr fontId="4" type="noConversion"/>
  </si>
  <si>
    <t>시군구보조금</t>
    <phoneticPr fontId="4" type="noConversion"/>
  </si>
  <si>
    <t>기타보조금</t>
    <phoneticPr fontId="4" type="noConversion"/>
  </si>
  <si>
    <t>04후원금수입</t>
    <phoneticPr fontId="4" type="noConversion"/>
  </si>
  <si>
    <t>41후원금수입</t>
    <phoneticPr fontId="4" type="noConversion"/>
  </si>
  <si>
    <t>지정후원금</t>
    <phoneticPr fontId="4" type="noConversion"/>
  </si>
  <si>
    <t>비지정후원금</t>
    <phoneticPr fontId="4" type="noConversion"/>
  </si>
  <si>
    <t>61상환금</t>
    <phoneticPr fontId="4" type="noConversion"/>
  </si>
  <si>
    <t>05차입금</t>
    <phoneticPr fontId="4" type="noConversion"/>
  </si>
  <si>
    <t>51차입금</t>
    <phoneticPr fontId="4" type="noConversion"/>
  </si>
  <si>
    <t>차입금</t>
    <phoneticPr fontId="4" type="noConversion"/>
  </si>
  <si>
    <t>06전입금</t>
    <phoneticPr fontId="4" type="noConversion"/>
  </si>
  <si>
    <t>61전입금</t>
    <phoneticPr fontId="4" type="noConversion"/>
  </si>
  <si>
    <t>07이월금</t>
    <phoneticPr fontId="4" type="noConversion"/>
  </si>
  <si>
    <t>71이월금</t>
    <phoneticPr fontId="4" type="noConversion"/>
  </si>
  <si>
    <t>전년도이월금 등</t>
    <phoneticPr fontId="4" type="noConversion"/>
  </si>
  <si>
    <t>09적립금</t>
    <phoneticPr fontId="4" type="noConversion"/>
  </si>
  <si>
    <t>91운영충당적립금</t>
    <phoneticPr fontId="4" type="noConversion"/>
  </si>
  <si>
    <t>운영충당적립금</t>
    <phoneticPr fontId="4" type="noConversion"/>
  </si>
  <si>
    <t>시설환경개선준비금</t>
    <phoneticPr fontId="4" type="noConversion"/>
  </si>
  <si>
    <t>08잡수입</t>
    <phoneticPr fontId="4" type="noConversion"/>
  </si>
  <si>
    <t>81잡수입</t>
    <phoneticPr fontId="4" type="noConversion"/>
  </si>
  <si>
    <t>목적사업준비금</t>
    <phoneticPr fontId="4" type="noConversion"/>
  </si>
  <si>
    <t>후원금</t>
    <phoneticPr fontId="4" type="noConversion"/>
  </si>
  <si>
    <t>이월금</t>
    <phoneticPr fontId="4" type="noConversion"/>
  </si>
  <si>
    <t>차기이월</t>
    <phoneticPr fontId="4" type="noConversion"/>
  </si>
  <si>
    <t>특
별
회
계</t>
    <phoneticPr fontId="4" type="noConversion"/>
  </si>
  <si>
    <t>01입소자부담금수입</t>
    <phoneticPr fontId="4" type="noConversion"/>
  </si>
  <si>
    <t>11입소비용수입</t>
    <phoneticPr fontId="4" type="noConversion"/>
  </si>
  <si>
    <t>입소비용수입</t>
    <phoneticPr fontId="4" type="noConversion"/>
  </si>
  <si>
    <t>21사업수입</t>
    <phoneticPr fontId="4" type="noConversion"/>
  </si>
  <si>
    <t>03과년도수입</t>
    <phoneticPr fontId="4" type="noConversion"/>
  </si>
  <si>
    <t>31과년도수입</t>
    <phoneticPr fontId="4" type="noConversion"/>
  </si>
  <si>
    <t>과년도수입</t>
    <phoneticPr fontId="4" type="noConversion"/>
  </si>
  <si>
    <t>04보조금수입</t>
    <phoneticPr fontId="4" type="noConversion"/>
  </si>
  <si>
    <t>41보조금</t>
    <phoneticPr fontId="4" type="noConversion"/>
  </si>
  <si>
    <t>보조금</t>
    <phoneticPr fontId="4" type="noConversion"/>
  </si>
  <si>
    <t>33사업비</t>
    <phoneticPr fontId="4" type="noConversion"/>
  </si>
  <si>
    <t>04전출금</t>
    <phoneticPr fontId="4" type="noConversion"/>
  </si>
  <si>
    <t>41전출금</t>
    <phoneticPr fontId="4" type="noConversion"/>
  </si>
  <si>
    <t>전출금</t>
    <phoneticPr fontId="4" type="noConversion"/>
  </si>
  <si>
    <t>06요양급여수입</t>
    <phoneticPr fontId="4" type="noConversion"/>
  </si>
  <si>
    <t>61요양급여수입</t>
    <phoneticPr fontId="4" type="noConversion"/>
  </si>
  <si>
    <t>07차입급</t>
    <phoneticPr fontId="4" type="noConversion"/>
  </si>
  <si>
    <t>71차입금</t>
    <phoneticPr fontId="4" type="noConversion"/>
  </si>
  <si>
    <t>08전입금</t>
    <phoneticPr fontId="4" type="noConversion"/>
  </si>
  <si>
    <t>81전입금</t>
    <phoneticPr fontId="4" type="noConversion"/>
  </si>
  <si>
    <t>08반환금</t>
    <phoneticPr fontId="4" type="noConversion"/>
  </si>
  <si>
    <t>81반환금</t>
    <phoneticPr fontId="4" type="noConversion"/>
  </si>
  <si>
    <t>반환금</t>
    <phoneticPr fontId="4" type="noConversion"/>
  </si>
  <si>
    <t>09이월금</t>
    <phoneticPr fontId="4" type="noConversion"/>
  </si>
  <si>
    <t>91이월금</t>
    <phoneticPr fontId="4" type="noConversion"/>
  </si>
  <si>
    <t>전년이월금등</t>
    <phoneticPr fontId="4" type="noConversion"/>
  </si>
  <si>
    <t>09예비비</t>
    <phoneticPr fontId="4" type="noConversion"/>
  </si>
  <si>
    <t>91예비비</t>
    <phoneticPr fontId="4" type="noConversion"/>
  </si>
  <si>
    <t>10잡수입</t>
    <phoneticPr fontId="4" type="noConversion"/>
  </si>
  <si>
    <t>101잡수입</t>
    <phoneticPr fontId="4" type="noConversion"/>
  </si>
  <si>
    <t>이자수입등</t>
    <phoneticPr fontId="4" type="noConversion"/>
  </si>
  <si>
    <t>소계</t>
    <phoneticPr fontId="4" type="noConversion"/>
  </si>
  <si>
    <t>&lt;첨부2&gt;</t>
    <phoneticPr fontId="4" type="noConversion"/>
  </si>
  <si>
    <t>2.세입.세출결산서</t>
    <phoneticPr fontId="4" type="noConversion"/>
  </si>
  <si>
    <t>사회복지법인 YWCA 복지사업단</t>
    <phoneticPr fontId="4" type="noConversion"/>
  </si>
  <si>
    <t> 2016년도 법인사무국 결산서</t>
    <phoneticPr fontId="4" type="noConversion"/>
  </si>
  <si>
    <t>2016. 1. 1 ～ 12. 31</t>
    <phoneticPr fontId="4" type="noConversion"/>
  </si>
  <si>
    <t>수입부/세입</t>
    <phoneticPr fontId="4" type="noConversion"/>
  </si>
  <si>
    <t>                                     (단위:원)</t>
    <phoneticPr fontId="4" type="noConversion"/>
  </si>
  <si>
    <t>세 입 결 산 서</t>
    <phoneticPr fontId="4" type="noConversion"/>
  </si>
  <si>
    <t>과  목</t>
  </si>
  <si>
    <t>구분</t>
    <phoneticPr fontId="4" type="noConversion"/>
  </si>
  <si>
    <t>정부보조금</t>
    <phoneticPr fontId="4" type="noConversion"/>
  </si>
  <si>
    <t>법인부담금</t>
    <phoneticPr fontId="4" type="noConversion"/>
  </si>
  <si>
    <t>후원금</t>
    <phoneticPr fontId="4" type="noConversion"/>
  </si>
  <si>
    <t>계</t>
    <phoneticPr fontId="4" type="noConversion"/>
  </si>
  <si>
    <t>재산수입</t>
    <phoneticPr fontId="4" type="noConversion"/>
  </si>
  <si>
    <t>기본재산수입</t>
    <phoneticPr fontId="4" type="noConversion"/>
  </si>
  <si>
    <t>이자수입</t>
    <phoneticPr fontId="4" type="noConversion"/>
  </si>
  <si>
    <t>예산</t>
    <phoneticPr fontId="4" type="noConversion"/>
  </si>
  <si>
    <t>결산</t>
    <phoneticPr fontId="4" type="noConversion"/>
  </si>
  <si>
    <t>증감</t>
    <phoneticPr fontId="4" type="noConversion"/>
  </si>
  <si>
    <t>합계</t>
    <phoneticPr fontId="4" type="noConversion"/>
  </si>
  <si>
    <t>결산</t>
    <phoneticPr fontId="4" type="noConversion"/>
  </si>
  <si>
    <t>증감</t>
    <phoneticPr fontId="4" type="noConversion"/>
  </si>
  <si>
    <t>일반사업비</t>
    <phoneticPr fontId="4" type="noConversion"/>
  </si>
  <si>
    <t>CMS사업비</t>
    <phoneticPr fontId="4" type="noConversion"/>
  </si>
  <si>
    <t>합계</t>
    <phoneticPr fontId="4" type="noConversion"/>
  </si>
  <si>
    <t>예산</t>
    <phoneticPr fontId="4" type="noConversion"/>
  </si>
  <si>
    <t>목적사업비준비비</t>
    <phoneticPr fontId="4" type="noConversion"/>
  </si>
  <si>
    <t>목적사업비준비금</t>
    <phoneticPr fontId="4" type="noConversion"/>
  </si>
  <si>
    <t>-</t>
    <phoneticPr fontId="4" type="noConversion"/>
  </si>
  <si>
    <t>합계</t>
    <phoneticPr fontId="4" type="noConversion"/>
  </si>
  <si>
    <t>예산</t>
    <phoneticPr fontId="4" type="noConversion"/>
  </si>
  <si>
    <t>지역복지운동</t>
    <phoneticPr fontId="4" type="noConversion"/>
  </si>
  <si>
    <t>노인복지사업</t>
    <phoneticPr fontId="4" type="noConversion"/>
  </si>
  <si>
    <t>YWCA복지관장연구모임</t>
    <phoneticPr fontId="4" type="noConversion"/>
  </si>
  <si>
    <t>YWCA어린이집원장연구모임</t>
    <phoneticPr fontId="4" type="noConversion"/>
  </si>
  <si>
    <t>YWCA복지관직원연수</t>
    <phoneticPr fontId="4" type="noConversion"/>
  </si>
  <si>
    <t>YWCA어린이집직원연수</t>
    <phoneticPr fontId="4" type="noConversion"/>
  </si>
  <si>
    <t>YWCA어린이집교사연수</t>
    <phoneticPr fontId="4" type="noConversion"/>
  </si>
  <si>
    <t>-</t>
    <phoneticPr fontId="4" type="noConversion"/>
  </si>
  <si>
    <t>증감</t>
    <phoneticPr fontId="4" type="noConversion"/>
  </si>
  <si>
    <t>결산</t>
    <phoneticPr fontId="4" type="noConversion"/>
  </si>
  <si>
    <t>보조금수입</t>
    <phoneticPr fontId="4" type="noConversion"/>
  </si>
  <si>
    <t>기타보조금</t>
    <phoneticPr fontId="4" type="noConversion"/>
  </si>
  <si>
    <t>합계</t>
    <phoneticPr fontId="4" type="noConversion"/>
  </si>
  <si>
    <t>예산</t>
    <phoneticPr fontId="4" type="noConversion"/>
  </si>
  <si>
    <t>결산</t>
    <phoneticPr fontId="4" type="noConversion"/>
  </si>
  <si>
    <t>증감</t>
    <phoneticPr fontId="4" type="noConversion"/>
  </si>
  <si>
    <t>후원금수입</t>
    <phoneticPr fontId="4" type="noConversion"/>
  </si>
  <si>
    <t>합계</t>
    <phoneticPr fontId="4" type="noConversion"/>
  </si>
  <si>
    <t>예산</t>
    <phoneticPr fontId="4" type="noConversion"/>
  </si>
  <si>
    <t>전입금</t>
    <phoneticPr fontId="4" type="noConversion"/>
  </si>
  <si>
    <t>지부전입금</t>
    <phoneticPr fontId="4" type="noConversion"/>
  </si>
  <si>
    <t>이월금</t>
    <phoneticPr fontId="4" type="noConversion"/>
  </si>
  <si>
    <t>전년도이월금</t>
    <phoneticPr fontId="4" type="noConversion"/>
  </si>
  <si>
    <t>잡수입</t>
    <phoneticPr fontId="4" type="noConversion"/>
  </si>
  <si>
    <t>기타예금이자수입 외</t>
    <phoneticPr fontId="4" type="noConversion"/>
  </si>
  <si>
    <t>예수금</t>
    <phoneticPr fontId="4" type="noConversion"/>
  </si>
  <si>
    <t>결산</t>
    <phoneticPr fontId="4" type="noConversion"/>
  </si>
  <si>
    <t>미지급금</t>
    <phoneticPr fontId="4" type="noConversion"/>
  </si>
  <si>
    <t>미지
급금</t>
    <phoneticPr fontId="4" type="noConversion"/>
  </si>
  <si>
    <t>합계</t>
    <phoneticPr fontId="4" type="noConversion"/>
  </si>
  <si>
    <t>예산</t>
    <phoneticPr fontId="4" type="noConversion"/>
  </si>
  <si>
    <t>가수금</t>
    <phoneticPr fontId="4" type="noConversion"/>
  </si>
  <si>
    <t>예산</t>
    <phoneticPr fontId="4" type="noConversion"/>
  </si>
  <si>
    <t>결산</t>
    <phoneticPr fontId="4" type="noConversion"/>
  </si>
  <si>
    <t>총계</t>
    <phoneticPr fontId="4" type="noConversion"/>
  </si>
  <si>
    <t>    </t>
  </si>
  <si>
    <t>지출부/세출</t>
    <phoneticPr fontId="4" type="noConversion"/>
  </si>
  <si>
    <t>                                                                    (단위: 원)</t>
    <phoneticPr fontId="4" type="noConversion"/>
  </si>
  <si>
    <t>세 출 결 산 서</t>
    <phoneticPr fontId="4" type="noConversion"/>
  </si>
  <si>
    <t>구분</t>
    <phoneticPr fontId="4" type="noConversion"/>
  </si>
  <si>
    <t>정부보조금</t>
    <phoneticPr fontId="4" type="noConversion"/>
  </si>
  <si>
    <t>법인부담금</t>
    <phoneticPr fontId="4" type="noConversion"/>
  </si>
  <si>
    <t>후원금</t>
    <phoneticPr fontId="4" type="noConversion"/>
  </si>
  <si>
    <t>계</t>
    <phoneticPr fontId="4" type="noConversion"/>
  </si>
  <si>
    <t>사무비</t>
    <phoneticPr fontId="4" type="noConversion"/>
  </si>
  <si>
    <t>인건비</t>
    <phoneticPr fontId="4" type="noConversion"/>
  </si>
  <si>
    <t>급여</t>
    <phoneticPr fontId="4" type="noConversion"/>
  </si>
  <si>
    <t>퇴직적립금</t>
    <phoneticPr fontId="4" type="noConversion"/>
  </si>
  <si>
    <t>복리후생비</t>
    <phoneticPr fontId="4" type="noConversion"/>
  </si>
  <si>
    <t>증감</t>
    <phoneticPr fontId="4" type="noConversion"/>
  </si>
  <si>
    <t>사회보험료</t>
    <phoneticPr fontId="4" type="noConversion"/>
  </si>
  <si>
    <t>업무추진비</t>
    <phoneticPr fontId="4" type="noConversion"/>
  </si>
  <si>
    <t>기관운영비</t>
    <phoneticPr fontId="4" type="noConversion"/>
  </si>
  <si>
    <t>회의비</t>
    <phoneticPr fontId="4" type="noConversion"/>
  </si>
  <si>
    <t>직원교육비</t>
    <phoneticPr fontId="4" type="noConversion"/>
  </si>
  <si>
    <t>운영비</t>
    <phoneticPr fontId="4" type="noConversion"/>
  </si>
  <si>
    <t>여비</t>
    <phoneticPr fontId="4" type="noConversion"/>
  </si>
  <si>
    <t>수용비및수수료</t>
    <phoneticPr fontId="4" type="noConversion"/>
  </si>
  <si>
    <t>공공요금</t>
    <phoneticPr fontId="4" type="noConversion"/>
  </si>
  <si>
    <t>제세공과금</t>
    <phoneticPr fontId="4" type="noConversion"/>
  </si>
  <si>
    <t>예산</t>
    <phoneticPr fontId="4" type="noConversion"/>
  </si>
  <si>
    <t>결산</t>
    <phoneticPr fontId="4" type="noConversion"/>
  </si>
  <si>
    <t>증감</t>
    <phoneticPr fontId="4" type="noConversion"/>
  </si>
  <si>
    <t>합계</t>
  </si>
  <si>
    <t>예산</t>
    <phoneticPr fontId="4" type="noConversion"/>
  </si>
  <si>
    <t>결산</t>
    <phoneticPr fontId="4" type="noConversion"/>
  </si>
  <si>
    <t>증감</t>
    <phoneticPr fontId="4" type="noConversion"/>
  </si>
  <si>
    <t>자산취득비</t>
    <phoneticPr fontId="4" type="noConversion"/>
  </si>
  <si>
    <t>사업비</t>
    <phoneticPr fontId="4" type="noConversion"/>
  </si>
  <si>
    <t>정책연구비</t>
    <phoneticPr fontId="4" type="noConversion"/>
  </si>
  <si>
    <t>지역복지운동</t>
    <phoneticPr fontId="4" type="noConversion"/>
  </si>
  <si>
    <t>교육사업비</t>
    <phoneticPr fontId="4" type="noConversion"/>
  </si>
  <si>
    <t>결산</t>
    <phoneticPr fontId="4" type="noConversion"/>
  </si>
  <si>
    <t>증감</t>
    <phoneticPr fontId="4" type="noConversion"/>
  </si>
  <si>
    <t>후원금</t>
    <phoneticPr fontId="4" type="noConversion"/>
  </si>
  <si>
    <t>전출금</t>
    <phoneticPr fontId="4" type="noConversion"/>
  </si>
  <si>
    <t>서울지부사업비</t>
    <phoneticPr fontId="4" type="noConversion"/>
  </si>
  <si>
    <t>부산지부사업비</t>
    <phoneticPr fontId="4" type="noConversion"/>
  </si>
  <si>
    <t>잡지출</t>
    <phoneticPr fontId="4" type="noConversion"/>
  </si>
  <si>
    <t>예비비</t>
    <phoneticPr fontId="4" type="noConversion"/>
  </si>
  <si>
    <t>예수금</t>
    <phoneticPr fontId="4" type="noConversion"/>
  </si>
  <si>
    <t>금월잔액</t>
    <phoneticPr fontId="4" type="noConversion"/>
  </si>
  <si>
    <t>금월잔액</t>
    <phoneticPr fontId="4" type="noConversion"/>
  </si>
  <si>
    <t>예수금잔액</t>
    <phoneticPr fontId="4" type="noConversion"/>
  </si>
  <si>
    <t>금월잔액</t>
    <phoneticPr fontId="4" type="noConversion"/>
  </si>
  <si>
    <t>미지급금잔액</t>
    <phoneticPr fontId="4" type="noConversion"/>
  </si>
  <si>
    <t>2.세입.세출결산서</t>
    <phoneticPr fontId="4" type="noConversion"/>
  </si>
  <si>
    <t xml:space="preserve">사회복지법인 YWCA 복지사업단 서울지부  </t>
    <phoneticPr fontId="4" type="noConversion"/>
  </si>
  <si>
    <t> 2016년도 서울지부 결산서</t>
    <phoneticPr fontId="4" type="noConversion"/>
  </si>
  <si>
    <t>2016. 1. 1 ～ 12. 31</t>
    <phoneticPr fontId="4" type="noConversion"/>
  </si>
  <si>
    <t>수입부/세입</t>
    <phoneticPr fontId="4" type="noConversion"/>
  </si>
  <si>
    <t>                                     (단위:원)</t>
    <phoneticPr fontId="4" type="noConversion"/>
  </si>
  <si>
    <t>세 입 결 산 서</t>
    <phoneticPr fontId="4" type="noConversion"/>
  </si>
  <si>
    <t>구분</t>
    <phoneticPr fontId="4" type="noConversion"/>
  </si>
  <si>
    <t>정부보조금</t>
    <phoneticPr fontId="4" type="noConversion"/>
  </si>
  <si>
    <t>시설부담금</t>
    <phoneticPr fontId="4" type="noConversion"/>
  </si>
  <si>
    <t>재산수입</t>
    <phoneticPr fontId="4" type="noConversion"/>
  </si>
  <si>
    <t>기본재산수입</t>
    <phoneticPr fontId="4" type="noConversion"/>
  </si>
  <si>
    <t>이자수입</t>
    <phoneticPr fontId="4" type="noConversion"/>
  </si>
  <si>
    <t>예산</t>
    <phoneticPr fontId="4" type="noConversion"/>
  </si>
  <si>
    <t>결산</t>
    <phoneticPr fontId="4" type="noConversion"/>
  </si>
  <si>
    <t>증감</t>
    <phoneticPr fontId="4" type="noConversion"/>
  </si>
  <si>
    <t>후원금수입</t>
    <phoneticPr fontId="4" type="noConversion"/>
  </si>
  <si>
    <t>후원금등</t>
    <phoneticPr fontId="4" type="noConversion"/>
  </si>
  <si>
    <t>차입금</t>
    <phoneticPr fontId="4" type="noConversion"/>
  </si>
  <si>
    <t>기타차입금</t>
    <phoneticPr fontId="4" type="noConversion"/>
  </si>
  <si>
    <t>법인전입금</t>
    <phoneticPr fontId="4" type="noConversion"/>
  </si>
  <si>
    <t>기타예금이자수입</t>
    <phoneticPr fontId="4" type="noConversion"/>
  </si>
  <si>
    <t>기타잡수입</t>
    <phoneticPr fontId="4" type="noConversion"/>
  </si>
  <si>
    <t>지출부/세출</t>
    <phoneticPr fontId="4" type="noConversion"/>
  </si>
  <si>
    <t>                                                                    (단위: 원)</t>
    <phoneticPr fontId="4" type="noConversion"/>
  </si>
  <si>
    <t>세 출 결 산 서</t>
    <phoneticPr fontId="4" type="noConversion"/>
  </si>
  <si>
    <t>계</t>
    <phoneticPr fontId="4" type="noConversion"/>
  </si>
  <si>
    <t>급여,퇴직급여, 적립금, 제수당</t>
    <phoneticPr fontId="4" type="noConversion"/>
  </si>
  <si>
    <t>결산</t>
    <phoneticPr fontId="4" type="noConversion"/>
  </si>
  <si>
    <t>기관운영비,회의비,직원교육</t>
    <phoneticPr fontId="4" type="noConversion"/>
  </si>
  <si>
    <t>교통비,통신</t>
    <phoneticPr fontId="4" type="noConversion"/>
  </si>
  <si>
    <t>재산조성</t>
    <phoneticPr fontId="4" type="noConversion"/>
  </si>
  <si>
    <t>시설비</t>
    <phoneticPr fontId="4" type="noConversion"/>
  </si>
  <si>
    <t>사업비</t>
    <phoneticPr fontId="4" type="noConversion"/>
  </si>
  <si>
    <t>지부전출금</t>
    <phoneticPr fontId="4" type="noConversion"/>
  </si>
  <si>
    <t>상환금</t>
    <phoneticPr fontId="4" type="noConversion"/>
  </si>
  <si>
    <t>부채상환금</t>
    <phoneticPr fontId="4" type="noConversion"/>
  </si>
  <si>
    <t>원금상환금</t>
    <phoneticPr fontId="4" type="noConversion"/>
  </si>
  <si>
    <t>예산</t>
    <phoneticPr fontId="4" type="noConversion"/>
  </si>
  <si>
    <t>결산</t>
    <phoneticPr fontId="4" type="noConversion"/>
  </si>
  <si>
    <t>증감</t>
    <phoneticPr fontId="4" type="noConversion"/>
  </si>
  <si>
    <t>잡지출</t>
    <phoneticPr fontId="4" type="noConversion"/>
  </si>
  <si>
    <t>준비금</t>
    <phoneticPr fontId="4" type="noConversion"/>
  </si>
  <si>
    <t>총계</t>
    <phoneticPr fontId="4" type="noConversion"/>
  </si>
  <si>
    <t>11필요경비수입</t>
    <phoneticPr fontId="3" type="noConversion"/>
  </si>
  <si>
    <t>111필요경비수입</t>
    <phoneticPr fontId="3" type="noConversion"/>
  </si>
  <si>
    <t>필요경비수입</t>
    <phoneticPr fontId="3" type="noConversion"/>
  </si>
  <si>
    <t>12보육료수입</t>
    <phoneticPr fontId="3" type="noConversion"/>
  </si>
  <si>
    <t>121보육료수입</t>
    <phoneticPr fontId="3" type="noConversion"/>
  </si>
  <si>
    <t>보육료수입</t>
    <phoneticPr fontId="3" type="noConversion"/>
  </si>
  <si>
    <t>기타예금
이자수입</t>
    <phoneticPr fontId="3" type="noConversion"/>
  </si>
  <si>
    <t>보육료수입</t>
    <phoneticPr fontId="3" type="noConversion"/>
  </si>
  <si>
    <t>31사업비</t>
    <phoneticPr fontId="3" type="noConversion"/>
  </si>
  <si>
    <t>사업비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</si>
</sst>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#,##0_);[Red]\(#,##0\)"/>
    <numFmt numFmtId="178" formatCode="0_ "/>
  </numFmts>
  <fonts count="34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aj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9"/>
      <name val="맑은 고딕"/>
      <family val="3"/>
      <charset val="129"/>
      <scheme val="major"/>
    </font>
    <font>
      <u/>
      <sz val="16.2"/>
      <color indexed="8"/>
      <name val="맑은 고딕"/>
      <family val="3"/>
      <charset val="129"/>
      <scheme val="major"/>
    </font>
    <font>
      <b/>
      <u/>
      <sz val="19"/>
      <color indexed="8"/>
      <name val="맑은 고딕"/>
      <family val="3"/>
      <charset val="129"/>
      <scheme val="major"/>
    </font>
    <font>
      <sz val="12.4"/>
      <color indexed="8"/>
      <name val="맑은 고딕"/>
      <family val="3"/>
      <charset val="129"/>
      <scheme val="major"/>
    </font>
    <font>
      <b/>
      <sz val="12"/>
      <color rgb="FFFF000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10"/>
      <color indexed="8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8"/>
      <name val="맑은 고딕"/>
      <family val="3"/>
      <charset val="129"/>
    </font>
    <font>
      <sz val="8"/>
      <color indexed="12"/>
      <name val="맑은 고딕"/>
      <family val="3"/>
      <charset val="129"/>
    </font>
    <font>
      <sz val="9"/>
      <color indexed="8"/>
      <name val="맑은 고딕"/>
      <family val="3"/>
      <charset val="129"/>
      <scheme val="major"/>
    </font>
    <font>
      <sz val="8"/>
      <color indexed="8"/>
      <name val="맑은 고딕"/>
      <family val="3"/>
      <charset val="129"/>
      <scheme val="major"/>
    </font>
    <font>
      <b/>
      <sz val="9"/>
      <color indexed="8"/>
      <name val="맑은 고딕"/>
      <family val="3"/>
      <charset val="129"/>
      <scheme val="major"/>
    </font>
    <font>
      <sz val="10"/>
      <color indexed="12"/>
      <name val="맑은 고딕"/>
      <family val="3"/>
      <charset val="129"/>
    </font>
    <font>
      <u/>
      <sz val="13"/>
      <color indexed="8"/>
      <name val="맑은 고딕"/>
      <family val="3"/>
      <charset val="129"/>
      <scheme val="major"/>
    </font>
    <font>
      <b/>
      <u/>
      <sz val="20"/>
      <color indexed="8"/>
      <name val="맑은 고딕"/>
      <family val="3"/>
      <charset val="129"/>
      <scheme val="major"/>
    </font>
    <font>
      <sz val="12"/>
      <color indexed="8"/>
      <name val="맑은 고딕"/>
      <family val="3"/>
      <charset val="129"/>
      <scheme val="major"/>
    </font>
    <font>
      <b/>
      <sz val="13"/>
      <color indexed="8"/>
      <name val="맑은 고딕"/>
      <family val="3"/>
      <charset val="129"/>
      <scheme val="major"/>
    </font>
    <font>
      <sz val="13"/>
      <color indexed="8"/>
      <name val="맑은 고딕"/>
      <family val="3"/>
      <charset val="129"/>
      <scheme val="major"/>
    </font>
    <font>
      <b/>
      <u/>
      <sz val="13"/>
      <color indexed="8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sz val="11"/>
      <color indexed="8"/>
      <name val="맑은 고딕"/>
      <family val="3"/>
      <charset val="129"/>
      <scheme val="major"/>
    </font>
    <font>
      <sz val="12"/>
      <color rgb="FFFF0000"/>
      <name val="맑은 고딕"/>
      <family val="3"/>
      <charset val="129"/>
      <scheme val="major"/>
    </font>
    <font>
      <b/>
      <sz val="12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2"/>
      <color indexed="8"/>
      <name val="굴림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0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medium">
        <color indexed="64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8"/>
      </right>
      <top/>
      <bottom style="double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</cellStyleXfs>
  <cellXfs count="901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176" fontId="2" fillId="2" borderId="0" xfId="1" applyNumberFormat="1" applyFont="1" applyFill="1">
      <alignment vertical="center"/>
    </xf>
    <xf numFmtId="0" fontId="10" fillId="2" borderId="14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18" xfId="1" applyFont="1" applyFill="1" applyBorder="1" applyAlignment="1">
      <alignment horizontal="center" vertical="center" wrapText="1"/>
    </xf>
    <xf numFmtId="0" fontId="10" fillId="2" borderId="19" xfId="1" applyFont="1" applyFill="1" applyBorder="1" applyAlignment="1">
      <alignment horizontal="center" vertical="center" wrapText="1"/>
    </xf>
    <xf numFmtId="0" fontId="11" fillId="2" borderId="22" xfId="1" applyFont="1" applyFill="1" applyBorder="1" applyAlignment="1">
      <alignment vertical="center" wrapText="1"/>
    </xf>
    <xf numFmtId="0" fontId="11" fillId="2" borderId="31" xfId="1" applyFont="1" applyFill="1" applyBorder="1" applyAlignment="1">
      <alignment vertical="center" wrapText="1"/>
    </xf>
    <xf numFmtId="0" fontId="11" fillId="2" borderId="10" xfId="1" applyFont="1" applyFill="1" applyBorder="1" applyAlignment="1">
      <alignment vertical="center" wrapText="1"/>
    </xf>
    <xf numFmtId="0" fontId="11" fillId="2" borderId="34" xfId="1" applyFont="1" applyFill="1" applyBorder="1" applyAlignment="1">
      <alignment vertical="center" wrapText="1"/>
    </xf>
    <xf numFmtId="41" fontId="11" fillId="2" borderId="34" xfId="2" applyFont="1" applyFill="1" applyBorder="1" applyAlignment="1">
      <alignment horizontal="left" vertical="center" wrapText="1"/>
    </xf>
    <xf numFmtId="41" fontId="12" fillId="2" borderId="34" xfId="2" applyFont="1" applyFill="1" applyBorder="1">
      <alignment vertical="center"/>
    </xf>
    <xf numFmtId="41" fontId="11" fillId="2" borderId="36" xfId="2" applyFont="1" applyFill="1" applyBorder="1" applyAlignment="1">
      <alignment vertical="center" wrapText="1"/>
    </xf>
    <xf numFmtId="0" fontId="11" fillId="2" borderId="30" xfId="1" applyFont="1" applyFill="1" applyBorder="1" applyAlignment="1">
      <alignment vertical="center" wrapText="1"/>
    </xf>
    <xf numFmtId="0" fontId="11" fillId="2" borderId="11" xfId="1" applyFont="1" applyFill="1" applyBorder="1" applyAlignment="1">
      <alignment vertical="center" wrapText="1"/>
    </xf>
    <xf numFmtId="41" fontId="11" fillId="0" borderId="38" xfId="2" applyFont="1" applyFill="1" applyBorder="1" applyAlignment="1">
      <alignment vertical="center" wrapText="1"/>
    </xf>
    <xf numFmtId="41" fontId="12" fillId="0" borderId="34" xfId="2" applyFont="1" applyFill="1" applyBorder="1">
      <alignment vertical="center"/>
    </xf>
    <xf numFmtId="41" fontId="11" fillId="0" borderId="39" xfId="2" applyFont="1" applyFill="1" applyBorder="1" applyAlignment="1">
      <alignment vertical="center" wrapText="1"/>
    </xf>
    <xf numFmtId="0" fontId="12" fillId="2" borderId="33" xfId="1" applyFont="1" applyFill="1" applyBorder="1">
      <alignment vertical="center"/>
    </xf>
    <xf numFmtId="0" fontId="12" fillId="2" borderId="34" xfId="1" applyFont="1" applyFill="1" applyBorder="1" applyAlignment="1">
      <alignment vertical="center" wrapText="1"/>
    </xf>
    <xf numFmtId="0" fontId="12" fillId="2" borderId="34" xfId="1" applyFont="1" applyFill="1" applyBorder="1">
      <alignment vertical="center"/>
    </xf>
    <xf numFmtId="0" fontId="11" fillId="2" borderId="40" xfId="1" applyFont="1" applyFill="1" applyBorder="1" applyAlignment="1">
      <alignment vertical="center" wrapText="1"/>
    </xf>
    <xf numFmtId="0" fontId="11" fillId="2" borderId="33" xfId="1" applyFont="1" applyFill="1" applyBorder="1" applyAlignment="1">
      <alignment horizontal="left" vertical="center" wrapText="1"/>
    </xf>
    <xf numFmtId="0" fontId="11" fillId="2" borderId="34" xfId="1" applyFont="1" applyFill="1" applyBorder="1" applyAlignment="1">
      <alignment horizontal="left" vertical="center" wrapText="1"/>
    </xf>
    <xf numFmtId="0" fontId="11" fillId="2" borderId="41" xfId="1" applyFont="1" applyFill="1" applyBorder="1" applyAlignment="1">
      <alignment vertical="center" wrapText="1"/>
    </xf>
    <xf numFmtId="0" fontId="11" fillId="2" borderId="42" xfId="1" applyFont="1" applyFill="1" applyBorder="1" applyAlignment="1">
      <alignment vertical="center" wrapText="1"/>
    </xf>
    <xf numFmtId="177" fontId="11" fillId="2" borderId="43" xfId="1" applyNumberFormat="1" applyFont="1" applyFill="1" applyBorder="1" applyAlignment="1">
      <alignment vertical="center" wrapText="1"/>
    </xf>
    <xf numFmtId="0" fontId="11" fillId="2" borderId="33" xfId="1" applyFont="1" applyFill="1" applyBorder="1" applyAlignment="1">
      <alignment vertical="center" wrapText="1"/>
    </xf>
    <xf numFmtId="0" fontId="12" fillId="2" borderId="0" xfId="1" applyFont="1" applyFill="1">
      <alignment vertical="center"/>
    </xf>
    <xf numFmtId="41" fontId="12" fillId="2" borderId="0" xfId="1" applyNumberFormat="1" applyFont="1" applyFill="1">
      <alignment vertical="center"/>
    </xf>
    <xf numFmtId="0" fontId="11" fillId="2" borderId="43" xfId="1" applyFont="1" applyFill="1" applyBorder="1" applyAlignment="1">
      <alignment vertical="center" wrapText="1"/>
    </xf>
    <xf numFmtId="41" fontId="11" fillId="2" borderId="38" xfId="2" applyFont="1" applyFill="1" applyBorder="1" applyAlignment="1">
      <alignment vertical="center" wrapText="1"/>
    </xf>
    <xf numFmtId="41" fontId="11" fillId="2" borderId="44" xfId="2" applyFont="1" applyFill="1" applyBorder="1" applyAlignment="1">
      <alignment vertical="center" wrapText="1"/>
    </xf>
    <xf numFmtId="41" fontId="12" fillId="2" borderId="35" xfId="2" applyFont="1" applyFill="1" applyBorder="1">
      <alignment vertical="center"/>
    </xf>
    <xf numFmtId="0" fontId="11" fillId="2" borderId="45" xfId="1" applyFont="1" applyFill="1" applyBorder="1" applyAlignment="1">
      <alignment vertical="center" wrapText="1"/>
    </xf>
    <xf numFmtId="0" fontId="11" fillId="2" borderId="35" xfId="1" applyFont="1" applyFill="1" applyBorder="1" applyAlignment="1">
      <alignment vertical="center" wrapText="1"/>
    </xf>
    <xf numFmtId="41" fontId="11" fillId="2" borderId="35" xfId="2" applyFont="1" applyFill="1" applyBorder="1" applyAlignment="1">
      <alignment horizontal="left" vertical="center" wrapText="1"/>
    </xf>
    <xf numFmtId="41" fontId="11" fillId="2" borderId="46" xfId="2" applyFont="1" applyFill="1" applyBorder="1" applyAlignment="1">
      <alignment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1" fillId="2" borderId="47" xfId="1" applyFont="1" applyFill="1" applyBorder="1" applyAlignment="1">
      <alignment vertical="center" wrapText="1"/>
    </xf>
    <xf numFmtId="0" fontId="11" fillId="2" borderId="48" xfId="1" applyFont="1" applyFill="1" applyBorder="1" applyAlignment="1">
      <alignment vertical="center" wrapText="1"/>
    </xf>
    <xf numFmtId="41" fontId="11" fillId="2" borderId="49" xfId="2" applyFont="1" applyFill="1" applyBorder="1" applyAlignment="1">
      <alignment vertical="center" wrapText="1"/>
    </xf>
    <xf numFmtId="41" fontId="11" fillId="2" borderId="33" xfId="1" applyNumberFormat="1" applyFont="1" applyFill="1" applyBorder="1" applyAlignment="1">
      <alignment vertical="center" wrapText="1"/>
    </xf>
    <xf numFmtId="41" fontId="11" fillId="2" borderId="34" xfId="1" applyNumberFormat="1" applyFont="1" applyFill="1" applyBorder="1" applyAlignment="1">
      <alignment vertical="center" wrapText="1"/>
    </xf>
    <xf numFmtId="41" fontId="11" fillId="2" borderId="50" xfId="2" applyFont="1" applyFill="1" applyBorder="1" applyAlignment="1">
      <alignment vertical="center" wrapText="1"/>
    </xf>
    <xf numFmtId="0" fontId="11" fillId="2" borderId="29" xfId="1" applyFont="1" applyFill="1" applyBorder="1" applyAlignment="1">
      <alignment vertical="center" wrapText="1"/>
    </xf>
    <xf numFmtId="41" fontId="11" fillId="2" borderId="51" xfId="2" applyFont="1" applyFill="1" applyBorder="1" applyAlignment="1">
      <alignment vertical="center" wrapText="1"/>
    </xf>
    <xf numFmtId="41" fontId="12" fillId="2" borderId="52" xfId="2" applyFont="1" applyFill="1" applyBorder="1">
      <alignment vertical="center"/>
    </xf>
    <xf numFmtId="0" fontId="11" fillId="2" borderId="53" xfId="1" applyFont="1" applyFill="1" applyBorder="1" applyAlignment="1">
      <alignment vertical="center" wrapText="1"/>
    </xf>
    <xf numFmtId="0" fontId="11" fillId="2" borderId="52" xfId="1" applyFont="1" applyFill="1" applyBorder="1" applyAlignment="1">
      <alignment vertical="center" wrapText="1"/>
    </xf>
    <xf numFmtId="41" fontId="11" fillId="2" borderId="52" xfId="2" applyFont="1" applyFill="1" applyBorder="1" applyAlignment="1">
      <alignment horizontal="left" vertical="center" wrapText="1"/>
    </xf>
    <xf numFmtId="41" fontId="11" fillId="2" borderId="54" xfId="2" applyFont="1" applyFill="1" applyBorder="1" applyAlignment="1">
      <alignment vertical="center" wrapText="1"/>
    </xf>
    <xf numFmtId="0" fontId="12" fillId="2" borderId="13" xfId="1" applyFont="1" applyFill="1" applyBorder="1" applyAlignment="1">
      <alignment vertical="center" wrapText="1"/>
    </xf>
    <xf numFmtId="0" fontId="10" fillId="3" borderId="55" xfId="1" applyFont="1" applyFill="1" applyBorder="1" applyAlignment="1">
      <alignment horizontal="center" vertical="center" wrapText="1"/>
    </xf>
    <xf numFmtId="0" fontId="10" fillId="3" borderId="56" xfId="1" applyFont="1" applyFill="1" applyBorder="1" applyAlignment="1">
      <alignment horizontal="right" vertical="center" wrapText="1"/>
    </xf>
    <xf numFmtId="41" fontId="10" fillId="3" borderId="57" xfId="2" applyFont="1" applyFill="1" applyBorder="1" applyAlignment="1">
      <alignment horizontal="right" vertical="center" wrapText="1"/>
    </xf>
    <xf numFmtId="0" fontId="10" fillId="3" borderId="58" xfId="1" applyFont="1" applyFill="1" applyBorder="1" applyAlignment="1">
      <alignment horizontal="center" vertical="center" wrapText="1"/>
    </xf>
    <xf numFmtId="0" fontId="10" fillId="3" borderId="59" xfId="1" applyFont="1" applyFill="1" applyBorder="1" applyAlignment="1">
      <alignment horizontal="right" vertical="center" wrapText="1"/>
    </xf>
    <xf numFmtId="41" fontId="10" fillId="3" borderId="60" xfId="2" applyFont="1" applyFill="1" applyBorder="1" applyAlignment="1">
      <alignment horizontal="right" vertical="center" wrapText="1"/>
    </xf>
    <xf numFmtId="0" fontId="11" fillId="2" borderId="30" xfId="1" applyFont="1" applyFill="1" applyBorder="1" applyAlignment="1">
      <alignment horizontal="left" vertical="center" wrapText="1"/>
    </xf>
    <xf numFmtId="41" fontId="11" fillId="2" borderId="63" xfId="2" applyFont="1" applyFill="1" applyBorder="1" applyAlignment="1">
      <alignment horizontal="left" vertical="center" wrapText="1"/>
    </xf>
    <xf numFmtId="41" fontId="11" fillId="2" borderId="64" xfId="2" applyFont="1" applyFill="1" applyBorder="1" applyAlignment="1">
      <alignment horizontal="right" vertical="center"/>
    </xf>
    <xf numFmtId="0" fontId="11" fillId="2" borderId="42" xfId="1" applyFont="1" applyFill="1" applyBorder="1" applyAlignment="1">
      <alignment horizontal="left" vertical="center" wrapText="1"/>
    </xf>
    <xf numFmtId="41" fontId="11" fillId="2" borderId="43" xfId="2" applyFont="1" applyFill="1" applyBorder="1" applyAlignment="1">
      <alignment horizontal="left" vertical="center" wrapText="1"/>
    </xf>
    <xf numFmtId="0" fontId="11" fillId="2" borderId="67" xfId="1" applyFont="1" applyFill="1" applyBorder="1" applyAlignment="1">
      <alignment horizontal="left" vertical="center" wrapText="1"/>
    </xf>
    <xf numFmtId="41" fontId="11" fillId="2" borderId="71" xfId="2" applyFont="1" applyFill="1" applyBorder="1" applyAlignment="1">
      <alignment horizontal="right" vertical="center"/>
    </xf>
    <xf numFmtId="41" fontId="11" fillId="2" borderId="63" xfId="2" applyFont="1" applyFill="1" applyBorder="1" applyAlignment="1">
      <alignment vertical="center" wrapText="1"/>
    </xf>
    <xf numFmtId="41" fontId="11" fillId="2" borderId="64" xfId="2" applyFont="1" applyFill="1" applyBorder="1" applyAlignment="1">
      <alignment vertical="center" wrapText="1"/>
    </xf>
    <xf numFmtId="0" fontId="11" fillId="2" borderId="74" xfId="1" applyFont="1" applyFill="1" applyBorder="1" applyAlignment="1">
      <alignment horizontal="left" vertical="center" wrapText="1"/>
    </xf>
    <xf numFmtId="0" fontId="11" fillId="2" borderId="75" xfId="1" applyFont="1" applyFill="1" applyBorder="1" applyAlignment="1">
      <alignment vertical="center" wrapText="1"/>
    </xf>
    <xf numFmtId="41" fontId="11" fillId="2" borderId="76" xfId="2" applyFont="1" applyFill="1" applyBorder="1" applyAlignment="1">
      <alignment vertical="center" wrapText="1"/>
    </xf>
    <xf numFmtId="41" fontId="11" fillId="2" borderId="77" xfId="2" applyFont="1" applyFill="1" applyBorder="1" applyAlignment="1">
      <alignment vertical="center" wrapText="1"/>
    </xf>
    <xf numFmtId="41" fontId="11" fillId="2" borderId="43" xfId="2" applyFont="1" applyFill="1" applyBorder="1" applyAlignment="1">
      <alignment vertical="center" wrapText="1"/>
    </xf>
    <xf numFmtId="41" fontId="11" fillId="2" borderId="71" xfId="2" applyFont="1" applyFill="1" applyBorder="1" applyAlignment="1">
      <alignment horizontal="right" vertical="center" wrapText="1"/>
    </xf>
    <xf numFmtId="0" fontId="11" fillId="2" borderId="78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 vertical="center" wrapText="1"/>
    </xf>
    <xf numFmtId="41" fontId="11" fillId="2" borderId="11" xfId="2" applyFont="1" applyFill="1" applyBorder="1" applyAlignment="1">
      <alignment horizontal="left" vertical="center" wrapText="1"/>
    </xf>
    <xf numFmtId="41" fontId="11" fillId="2" borderId="79" xfId="2" applyFont="1" applyFill="1" applyBorder="1" applyAlignment="1">
      <alignment vertical="center" wrapText="1"/>
    </xf>
    <xf numFmtId="41" fontId="11" fillId="2" borderId="11" xfId="2" applyFont="1" applyFill="1" applyBorder="1" applyAlignment="1">
      <alignment vertical="center" wrapText="1"/>
    </xf>
    <xf numFmtId="0" fontId="11" fillId="2" borderId="80" xfId="1" applyFont="1" applyFill="1" applyBorder="1" applyAlignment="1">
      <alignment horizontal="left" vertical="center" wrapText="1"/>
    </xf>
    <xf numFmtId="0" fontId="11" fillId="2" borderId="75" xfId="1" applyFont="1" applyFill="1" applyBorder="1" applyAlignment="1">
      <alignment horizontal="left" vertical="center" wrapText="1"/>
    </xf>
    <xf numFmtId="41" fontId="11" fillId="2" borderId="76" xfId="2" applyFont="1" applyFill="1" applyBorder="1" applyAlignment="1">
      <alignment horizontal="left" vertical="center" wrapText="1"/>
    </xf>
    <xf numFmtId="41" fontId="11" fillId="2" borderId="34" xfId="2" applyFont="1" applyFill="1" applyBorder="1" applyAlignment="1">
      <alignment vertical="center" wrapText="1"/>
    </xf>
    <xf numFmtId="41" fontId="11" fillId="2" borderId="81" xfId="2" applyFont="1" applyFill="1" applyBorder="1" applyAlignment="1">
      <alignment horizontal="right" vertical="center" wrapText="1"/>
    </xf>
    <xf numFmtId="0" fontId="11" fillId="2" borderId="72" xfId="1" applyFont="1" applyFill="1" applyBorder="1" applyAlignment="1">
      <alignment horizontal="left" vertical="center" wrapText="1"/>
    </xf>
    <xf numFmtId="0" fontId="11" fillId="2" borderId="73" xfId="1" applyFont="1" applyFill="1" applyBorder="1" applyAlignment="1">
      <alignment horizontal="left" vertical="center" wrapText="1"/>
    </xf>
    <xf numFmtId="41" fontId="11" fillId="2" borderId="82" xfId="2" applyFont="1" applyFill="1" applyBorder="1" applyAlignment="1">
      <alignment horizontal="left" vertical="center" wrapText="1"/>
    </xf>
    <xf numFmtId="41" fontId="11" fillId="2" borderId="83" xfId="2" applyFont="1" applyFill="1" applyBorder="1" applyAlignment="1">
      <alignment vertical="center" wrapText="1"/>
    </xf>
    <xf numFmtId="0" fontId="11" fillId="2" borderId="62" xfId="1" applyFont="1" applyFill="1" applyBorder="1" applyAlignment="1">
      <alignment vertical="center" wrapText="1"/>
    </xf>
    <xf numFmtId="41" fontId="11" fillId="2" borderId="84" xfId="2" applyFont="1" applyFill="1" applyBorder="1" applyAlignment="1">
      <alignment vertical="center" wrapText="1"/>
    </xf>
    <xf numFmtId="41" fontId="11" fillId="2" borderId="77" xfId="2" applyFont="1" applyFill="1" applyBorder="1" applyAlignment="1">
      <alignment vertical="center"/>
    </xf>
    <xf numFmtId="41" fontId="11" fillId="2" borderId="85" xfId="2" applyFont="1" applyFill="1" applyBorder="1" applyAlignment="1">
      <alignment vertical="center" wrapText="1"/>
    </xf>
    <xf numFmtId="0" fontId="11" fillId="2" borderId="31" xfId="1" applyFont="1" applyFill="1" applyBorder="1" applyAlignment="1">
      <alignment horizontal="left" vertical="center" wrapText="1"/>
    </xf>
    <xf numFmtId="41" fontId="11" fillId="2" borderId="85" xfId="2" applyFont="1" applyFill="1" applyBorder="1" applyAlignment="1">
      <alignment horizontal="left" vertical="center" wrapText="1"/>
    </xf>
    <xf numFmtId="0" fontId="15" fillId="2" borderId="42" xfId="1" applyFont="1" applyFill="1" applyBorder="1" applyAlignment="1">
      <alignment vertical="center" wrapText="1"/>
    </xf>
    <xf numFmtId="41" fontId="11" fillId="2" borderId="42" xfId="2" applyFont="1" applyFill="1" applyBorder="1" applyAlignment="1">
      <alignment vertical="center" wrapText="1"/>
    </xf>
    <xf numFmtId="41" fontId="11" fillId="2" borderId="71" xfId="2" applyFont="1" applyFill="1" applyBorder="1" applyAlignment="1">
      <alignment vertical="center" wrapText="1"/>
    </xf>
    <xf numFmtId="0" fontId="11" fillId="2" borderId="70" xfId="1" applyFont="1" applyFill="1" applyBorder="1" applyAlignment="1">
      <alignment vertical="center" wrapText="1"/>
    </xf>
    <xf numFmtId="0" fontId="15" fillId="2" borderId="30" xfId="1" applyFont="1" applyFill="1" applyBorder="1" applyAlignment="1">
      <alignment vertical="center" wrapText="1"/>
    </xf>
    <xf numFmtId="0" fontId="11" fillId="2" borderId="48" xfId="1" applyFont="1" applyFill="1" applyBorder="1" applyAlignment="1">
      <alignment horizontal="left" vertical="center" wrapText="1"/>
    </xf>
    <xf numFmtId="41" fontId="11" fillId="2" borderId="32" xfId="2" applyFont="1" applyFill="1" applyBorder="1" applyAlignment="1">
      <alignment horizontal="left" vertical="center" wrapText="1"/>
    </xf>
    <xf numFmtId="0" fontId="11" fillId="2" borderId="78" xfId="1" applyFont="1" applyFill="1" applyBorder="1" applyAlignment="1">
      <alignment vertical="center" wrapText="1"/>
    </xf>
    <xf numFmtId="41" fontId="11" fillId="2" borderId="10" xfId="2" applyFont="1" applyFill="1" applyBorder="1" applyAlignment="1">
      <alignment vertical="center" wrapText="1"/>
    </xf>
    <xf numFmtId="41" fontId="11" fillId="2" borderId="86" xfId="2" applyFont="1" applyFill="1" applyBorder="1" applyAlignment="1">
      <alignment vertical="center"/>
    </xf>
    <xf numFmtId="41" fontId="11" fillId="2" borderId="31" xfId="1" applyNumberFormat="1" applyFont="1" applyFill="1" applyBorder="1" applyAlignment="1">
      <alignment vertical="center" wrapText="1"/>
    </xf>
    <xf numFmtId="41" fontId="11" fillId="2" borderId="31" xfId="2" applyFont="1" applyFill="1" applyBorder="1" applyAlignment="1">
      <alignment vertical="center" wrapText="1"/>
    </xf>
    <xf numFmtId="41" fontId="11" fillId="2" borderId="65" xfId="2" applyFont="1" applyFill="1" applyBorder="1" applyAlignment="1">
      <alignment vertical="center" wrapText="1"/>
    </xf>
    <xf numFmtId="0" fontId="10" fillId="2" borderId="66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left" vertical="center" wrapText="1"/>
    </xf>
    <xf numFmtId="41" fontId="11" fillId="2" borderId="87" xfId="2" applyFont="1" applyFill="1" applyBorder="1" applyAlignment="1">
      <alignment horizontal="left" vertical="center" wrapText="1"/>
    </xf>
    <xf numFmtId="41" fontId="11" fillId="2" borderId="88" xfId="2" applyFont="1" applyFill="1" applyBorder="1" applyAlignment="1">
      <alignment horizontal="left" vertical="center" wrapText="1"/>
    </xf>
    <xf numFmtId="41" fontId="11" fillId="2" borderId="65" xfId="2" applyFont="1" applyFill="1" applyBorder="1" applyAlignment="1">
      <alignment vertical="center"/>
    </xf>
    <xf numFmtId="0" fontId="12" fillId="2" borderId="66" xfId="1" applyFont="1" applyFill="1" applyBorder="1" applyAlignment="1">
      <alignment vertical="center" wrapText="1"/>
    </xf>
    <xf numFmtId="0" fontId="10" fillId="3" borderId="89" xfId="1" applyFont="1" applyFill="1" applyBorder="1" applyAlignment="1">
      <alignment horizontal="center" vertical="center" wrapText="1"/>
    </xf>
    <xf numFmtId="0" fontId="10" fillId="3" borderId="56" xfId="1" applyFont="1" applyFill="1" applyBorder="1" applyAlignment="1">
      <alignment horizontal="center" vertical="center" wrapText="1"/>
    </xf>
    <xf numFmtId="41" fontId="10" fillId="3" borderId="90" xfId="2" applyFont="1" applyFill="1" applyBorder="1" applyAlignment="1">
      <alignment horizontal="center" vertical="center" wrapText="1"/>
    </xf>
    <xf numFmtId="41" fontId="10" fillId="3" borderId="90" xfId="2" applyFont="1" applyFill="1" applyBorder="1" applyAlignment="1">
      <alignment horizontal="right" vertical="center"/>
    </xf>
    <xf numFmtId="0" fontId="10" fillId="3" borderId="91" xfId="1" applyFont="1" applyFill="1" applyBorder="1" applyAlignment="1">
      <alignment horizontal="center" vertical="center" wrapText="1"/>
    </xf>
    <xf numFmtId="0" fontId="10" fillId="3" borderId="92" xfId="1" applyFont="1" applyFill="1" applyBorder="1" applyAlignment="1">
      <alignment horizontal="right" vertical="center" wrapText="1"/>
    </xf>
    <xf numFmtId="41" fontId="10" fillId="3" borderId="93" xfId="2" applyFont="1" applyFill="1" applyBorder="1" applyAlignment="1">
      <alignment horizontal="right" vertical="center" wrapText="1"/>
    </xf>
    <xf numFmtId="41" fontId="10" fillId="3" borderId="94" xfId="2" applyFont="1" applyFill="1" applyBorder="1" applyAlignment="1">
      <alignment horizontal="right" vertical="center" wrapText="1"/>
    </xf>
    <xf numFmtId="0" fontId="11" fillId="2" borderId="97" xfId="1" applyFont="1" applyFill="1" applyBorder="1" applyAlignment="1">
      <alignment horizontal="left" vertical="center" wrapText="1"/>
    </xf>
    <xf numFmtId="41" fontId="11" fillId="2" borderId="98" xfId="1" applyNumberFormat="1" applyFont="1" applyFill="1" applyBorder="1" applyAlignment="1">
      <alignment horizontal="left" vertical="center" wrapText="1"/>
    </xf>
    <xf numFmtId="176" fontId="11" fillId="2" borderId="99" xfId="1" applyNumberFormat="1" applyFont="1" applyFill="1" applyBorder="1" applyAlignment="1">
      <alignment horizontal="right" vertical="center" wrapText="1"/>
    </xf>
    <xf numFmtId="0" fontId="11" fillId="2" borderId="100" xfId="1" applyFont="1" applyFill="1" applyBorder="1" applyAlignment="1">
      <alignment vertical="center" wrapText="1"/>
    </xf>
    <xf numFmtId="0" fontId="11" fillId="2" borderId="101" xfId="1" applyFont="1" applyFill="1" applyBorder="1" applyAlignment="1">
      <alignment vertical="center" wrapText="1"/>
    </xf>
    <xf numFmtId="41" fontId="11" fillId="2" borderId="93" xfId="1" applyNumberFormat="1" applyFont="1" applyFill="1" applyBorder="1" applyAlignment="1">
      <alignment vertical="center" wrapText="1"/>
    </xf>
    <xf numFmtId="176" fontId="11" fillId="2" borderId="94" xfId="1" applyNumberFormat="1" applyFont="1" applyFill="1" applyBorder="1" applyAlignment="1">
      <alignment vertical="center" wrapText="1"/>
    </xf>
    <xf numFmtId="41" fontId="11" fillId="2" borderId="43" xfId="1" applyNumberFormat="1" applyFont="1" applyFill="1" applyBorder="1" applyAlignment="1">
      <alignment horizontal="left" vertical="center" wrapText="1"/>
    </xf>
    <xf numFmtId="176" fontId="11" fillId="2" borderId="103" xfId="1" applyNumberFormat="1" applyFont="1" applyFill="1" applyBorder="1" applyAlignment="1">
      <alignment horizontal="right" vertical="center" wrapText="1"/>
    </xf>
    <xf numFmtId="0" fontId="11" fillId="2" borderId="37" xfId="1" applyFont="1" applyFill="1" applyBorder="1" applyAlignment="1">
      <alignment vertical="center" wrapText="1"/>
    </xf>
    <xf numFmtId="0" fontId="11" fillId="2" borderId="63" xfId="1" applyFont="1" applyFill="1" applyBorder="1" applyAlignment="1">
      <alignment vertical="center" wrapText="1"/>
    </xf>
    <xf numFmtId="176" fontId="11" fillId="2" borderId="50" xfId="1" applyNumberFormat="1" applyFont="1" applyFill="1" applyBorder="1" applyAlignment="1">
      <alignment vertical="center" wrapText="1"/>
    </xf>
    <xf numFmtId="176" fontId="11" fillId="2" borderId="63" xfId="1" applyNumberFormat="1" applyFont="1" applyFill="1" applyBorder="1" applyAlignment="1">
      <alignment horizontal="right" vertical="center" wrapText="1"/>
    </xf>
    <xf numFmtId="0" fontId="11" fillId="2" borderId="40" xfId="1" applyFont="1" applyFill="1" applyBorder="1" applyAlignment="1">
      <alignment vertical="center" wrapText="1"/>
    </xf>
    <xf numFmtId="0" fontId="11" fillId="2" borderId="11" xfId="1" applyFont="1" applyFill="1" applyBorder="1" applyAlignment="1">
      <alignment vertical="center" wrapText="1"/>
    </xf>
    <xf numFmtId="0" fontId="11" fillId="2" borderId="37" xfId="1" applyFont="1" applyFill="1" applyBorder="1" applyAlignment="1">
      <alignment vertical="center" wrapText="1"/>
    </xf>
    <xf numFmtId="0" fontId="11" fillId="2" borderId="63" xfId="1" applyFont="1" applyFill="1" applyBorder="1" applyAlignment="1">
      <alignment vertical="center" wrapText="1"/>
    </xf>
    <xf numFmtId="0" fontId="11" fillId="2" borderId="85" xfId="1" applyFont="1" applyFill="1" applyBorder="1" applyAlignment="1">
      <alignment vertical="center" wrapText="1"/>
    </xf>
    <xf numFmtId="176" fontId="11" fillId="2" borderId="50" xfId="1" applyNumberFormat="1" applyFont="1" applyFill="1" applyBorder="1" applyAlignment="1">
      <alignment horizontal="right" vertical="center" wrapText="1"/>
    </xf>
    <xf numFmtId="41" fontId="11" fillId="2" borderId="63" xfId="1" applyNumberFormat="1" applyFont="1" applyFill="1" applyBorder="1" applyAlignment="1">
      <alignment vertical="center" wrapText="1"/>
    </xf>
    <xf numFmtId="176" fontId="11" fillId="2" borderId="63" xfId="1" applyNumberFormat="1" applyFont="1" applyFill="1" applyBorder="1" applyAlignment="1">
      <alignment vertical="center" wrapText="1"/>
    </xf>
    <xf numFmtId="0" fontId="11" fillId="2" borderId="80" xfId="1" applyFont="1" applyFill="1" applyBorder="1" applyAlignment="1">
      <alignment vertical="center" wrapText="1"/>
    </xf>
    <xf numFmtId="41" fontId="11" fillId="2" borderId="76" xfId="1" applyNumberFormat="1" applyFont="1" applyFill="1" applyBorder="1" applyAlignment="1">
      <alignment vertical="center" wrapText="1"/>
    </xf>
    <xf numFmtId="0" fontId="11" fillId="2" borderId="105" xfId="1" applyFont="1" applyFill="1" applyBorder="1" applyAlignment="1">
      <alignment vertical="center" wrapText="1"/>
    </xf>
    <xf numFmtId="0" fontId="11" fillId="2" borderId="106" xfId="1" applyFont="1" applyFill="1" applyBorder="1" applyAlignment="1">
      <alignment vertical="center" wrapText="1"/>
    </xf>
    <xf numFmtId="0" fontId="11" fillId="2" borderId="76" xfId="1" applyFont="1" applyFill="1" applyBorder="1" applyAlignment="1">
      <alignment vertical="center" wrapText="1"/>
    </xf>
    <xf numFmtId="0" fontId="11" fillId="2" borderId="43" xfId="1" applyFont="1" applyFill="1" applyBorder="1" applyAlignment="1">
      <alignment horizontal="left" vertical="center" wrapText="1"/>
    </xf>
    <xf numFmtId="41" fontId="11" fillId="2" borderId="38" xfId="1" applyNumberFormat="1" applyFont="1" applyFill="1" applyBorder="1" applyAlignment="1">
      <alignment horizontal="left" vertical="center" wrapText="1"/>
    </xf>
    <xf numFmtId="41" fontId="11" fillId="2" borderId="34" xfId="1" applyNumberFormat="1" applyFont="1" applyFill="1" applyBorder="1" applyAlignment="1">
      <alignment horizontal="left" vertical="center" wrapText="1"/>
    </xf>
    <xf numFmtId="41" fontId="11" fillId="2" borderId="107" xfId="1" applyNumberFormat="1" applyFont="1" applyFill="1" applyBorder="1" applyAlignment="1">
      <alignment horizontal="left" vertical="center" wrapText="1"/>
    </xf>
    <xf numFmtId="41" fontId="11" fillId="2" borderId="107" xfId="2" applyFont="1" applyFill="1" applyBorder="1" applyAlignment="1">
      <alignment horizontal="left" vertical="center" wrapText="1"/>
    </xf>
    <xf numFmtId="0" fontId="11" fillId="2" borderId="107" xfId="1" applyFont="1" applyFill="1" applyBorder="1" applyAlignment="1">
      <alignment vertical="center" wrapText="1"/>
    </xf>
    <xf numFmtId="0" fontId="10" fillId="2" borderId="102" xfId="1" applyFont="1" applyFill="1" applyBorder="1" applyAlignment="1">
      <alignment horizontal="center" vertical="center" wrapText="1"/>
    </xf>
    <xf numFmtId="0" fontId="11" fillId="2" borderId="62" xfId="1" applyFont="1" applyFill="1" applyBorder="1" applyAlignment="1">
      <alignment horizontal="left" vertical="center" wrapText="1"/>
    </xf>
    <xf numFmtId="41" fontId="11" fillId="2" borderId="85" xfId="1" applyNumberFormat="1" applyFont="1" applyFill="1" applyBorder="1" applyAlignment="1">
      <alignment horizontal="left" vertical="center" wrapText="1"/>
    </xf>
    <xf numFmtId="176" fontId="11" fillId="2" borderId="108" xfId="1" applyNumberFormat="1" applyFont="1" applyFill="1" applyBorder="1" applyAlignment="1">
      <alignment vertical="center" wrapText="1"/>
    </xf>
    <xf numFmtId="0" fontId="12" fillId="2" borderId="109" xfId="1" applyFont="1" applyFill="1" applyBorder="1" applyAlignment="1">
      <alignment vertical="center" wrapText="1"/>
    </xf>
    <xf numFmtId="0" fontId="10" fillId="3" borderId="110" xfId="1" applyFont="1" applyFill="1" applyBorder="1" applyAlignment="1">
      <alignment horizontal="center" vertical="center" wrapText="1"/>
    </xf>
    <xf numFmtId="0" fontId="11" fillId="3" borderId="111" xfId="1" applyFont="1" applyFill="1" applyBorder="1" applyAlignment="1">
      <alignment horizontal="justify" vertical="center" wrapText="1"/>
    </xf>
    <xf numFmtId="0" fontId="10" fillId="3" borderId="111" xfId="1" applyFont="1" applyFill="1" applyBorder="1" applyAlignment="1">
      <alignment horizontal="justify" vertical="center" wrapText="1"/>
    </xf>
    <xf numFmtId="41" fontId="10" fillId="3" borderId="112" xfId="1" applyNumberFormat="1" applyFont="1" applyFill="1" applyBorder="1" applyAlignment="1">
      <alignment horizontal="justify" vertical="center" wrapText="1"/>
    </xf>
    <xf numFmtId="0" fontId="10" fillId="3" borderId="113" xfId="1" applyFont="1" applyFill="1" applyBorder="1" applyAlignment="1">
      <alignment horizontal="center" vertical="center" wrapText="1"/>
    </xf>
    <xf numFmtId="176" fontId="10" fillId="3" borderId="114" xfId="1" applyNumberFormat="1" applyFont="1" applyFill="1" applyBorder="1" applyAlignment="1">
      <alignment horizontal="right" vertical="center" wrapText="1"/>
    </xf>
    <xf numFmtId="0" fontId="10" fillId="4" borderId="115" xfId="1" applyFont="1" applyFill="1" applyBorder="1" applyAlignment="1">
      <alignment horizontal="justify" vertical="center" wrapText="1"/>
    </xf>
    <xf numFmtId="0" fontId="10" fillId="4" borderId="116" xfId="1" applyFont="1" applyFill="1" applyBorder="1" applyAlignment="1">
      <alignment horizontal="center" vertical="center" wrapText="1"/>
    </xf>
    <xf numFmtId="0" fontId="10" fillId="4" borderId="117" xfId="1" applyFont="1" applyFill="1" applyBorder="1" applyAlignment="1">
      <alignment horizontal="justify" vertical="center" wrapText="1"/>
    </xf>
    <xf numFmtId="41" fontId="10" fillId="4" borderId="118" xfId="1" applyNumberFormat="1" applyFont="1" applyFill="1" applyBorder="1" applyAlignment="1">
      <alignment horizontal="justify" vertical="center" wrapText="1"/>
    </xf>
    <xf numFmtId="0" fontId="10" fillId="4" borderId="119" xfId="1" applyFont="1" applyFill="1" applyBorder="1" applyAlignment="1">
      <alignment horizontal="center" vertical="center" wrapText="1"/>
    </xf>
    <xf numFmtId="176" fontId="10" fillId="4" borderId="120" xfId="1" applyNumberFormat="1" applyFont="1" applyFill="1" applyBorder="1" applyAlignment="1">
      <alignment horizontal="right" vertical="center" wrapText="1"/>
    </xf>
    <xf numFmtId="0" fontId="15" fillId="2" borderId="0" xfId="1" applyFont="1" applyFill="1" applyAlignment="1">
      <alignment horizontal="left" vertical="center" indent="1"/>
    </xf>
    <xf numFmtId="0" fontId="17" fillId="2" borderId="0" xfId="1" applyFont="1" applyFill="1" applyAlignment="1">
      <alignment vertical="center"/>
    </xf>
    <xf numFmtId="0" fontId="11" fillId="2" borderId="0" xfId="1" applyFont="1" applyFill="1" applyAlignment="1">
      <alignment vertical="center"/>
    </xf>
    <xf numFmtId="0" fontId="2" fillId="2" borderId="0" xfId="1" applyFont="1" applyFill="1" applyBorder="1">
      <alignment vertical="center"/>
    </xf>
    <xf numFmtId="0" fontId="11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41" fontId="11" fillId="2" borderId="39" xfId="2" applyFont="1" applyFill="1" applyBorder="1" applyAlignment="1">
      <alignment vertical="center" wrapText="1"/>
    </xf>
    <xf numFmtId="41" fontId="11" fillId="2" borderId="121" xfId="2" applyFont="1" applyFill="1" applyBorder="1" applyAlignment="1">
      <alignment vertical="center" wrapText="1"/>
    </xf>
    <xf numFmtId="41" fontId="11" fillId="2" borderId="122" xfId="2" applyFont="1" applyFill="1" applyBorder="1" applyAlignment="1">
      <alignment vertical="center" wrapText="1"/>
    </xf>
    <xf numFmtId="0" fontId="11" fillId="2" borderId="70" xfId="1" applyFont="1" applyFill="1" applyBorder="1" applyAlignment="1">
      <alignment horizontal="left" vertical="center" wrapText="1"/>
    </xf>
    <xf numFmtId="41" fontId="10" fillId="3" borderId="126" xfId="2" applyFont="1" applyFill="1" applyBorder="1" applyAlignment="1">
      <alignment horizontal="right" vertical="center"/>
    </xf>
    <xf numFmtId="0" fontId="10" fillId="3" borderId="127" xfId="1" applyFont="1" applyFill="1" applyBorder="1" applyAlignment="1">
      <alignment horizontal="center" vertical="center" wrapText="1"/>
    </xf>
    <xf numFmtId="0" fontId="10" fillId="3" borderId="128" xfId="1" applyFont="1" applyFill="1" applyBorder="1" applyAlignment="1">
      <alignment horizontal="right" vertical="center" wrapText="1"/>
    </xf>
    <xf numFmtId="41" fontId="10" fillId="3" borderId="90" xfId="2" applyFont="1" applyFill="1" applyBorder="1" applyAlignment="1">
      <alignment horizontal="right" vertical="center" wrapText="1"/>
    </xf>
    <xf numFmtId="41" fontId="10" fillId="3" borderId="126" xfId="2" applyFont="1" applyFill="1" applyBorder="1" applyAlignment="1">
      <alignment horizontal="right" vertical="center" wrapText="1"/>
    </xf>
    <xf numFmtId="0" fontId="11" fillId="2" borderId="98" xfId="1" applyFont="1" applyFill="1" applyBorder="1" applyAlignment="1">
      <alignment horizontal="left" vertical="center" wrapText="1"/>
    </xf>
    <xf numFmtId="177" fontId="11" fillId="2" borderId="98" xfId="1" applyNumberFormat="1" applyFont="1" applyFill="1" applyBorder="1" applyAlignment="1">
      <alignment horizontal="right" vertical="center" wrapText="1"/>
    </xf>
    <xf numFmtId="0" fontId="11" fillId="2" borderId="129" xfId="1" applyFont="1" applyFill="1" applyBorder="1" applyAlignment="1">
      <alignment vertical="center" wrapText="1"/>
    </xf>
    <xf numFmtId="176" fontId="11" fillId="2" borderId="99" xfId="1" applyNumberFormat="1" applyFont="1" applyFill="1" applyBorder="1" applyAlignment="1">
      <alignment vertical="center" wrapText="1"/>
    </xf>
    <xf numFmtId="177" fontId="11" fillId="2" borderId="43" xfId="1" applyNumberFormat="1" applyFont="1" applyFill="1" applyBorder="1" applyAlignment="1">
      <alignment horizontal="right" vertical="center" wrapText="1"/>
    </xf>
    <xf numFmtId="176" fontId="11" fillId="2" borderId="130" xfId="1" applyNumberFormat="1" applyFont="1" applyFill="1" applyBorder="1" applyAlignment="1">
      <alignment vertical="center" wrapText="1"/>
    </xf>
    <xf numFmtId="0" fontId="11" fillId="2" borderId="11" xfId="1" applyFont="1" applyFill="1" applyBorder="1" applyAlignment="1">
      <alignment horizontal="left" vertical="center" wrapText="1"/>
    </xf>
    <xf numFmtId="0" fontId="11" fillId="2" borderId="32" xfId="1" applyFont="1" applyFill="1" applyBorder="1" applyAlignment="1">
      <alignment horizontal="left" vertical="center" wrapText="1"/>
    </xf>
    <xf numFmtId="176" fontId="11" fillId="2" borderId="28" xfId="1" applyNumberFormat="1" applyFont="1" applyFill="1" applyBorder="1" applyAlignment="1">
      <alignment horizontal="right" vertical="center" wrapText="1"/>
    </xf>
    <xf numFmtId="177" fontId="11" fillId="2" borderId="63" xfId="1" applyNumberFormat="1" applyFont="1" applyFill="1" applyBorder="1" applyAlignment="1">
      <alignment vertical="center" wrapText="1"/>
    </xf>
    <xf numFmtId="0" fontId="11" fillId="2" borderId="38" xfId="1" applyFont="1" applyFill="1" applyBorder="1" applyAlignment="1">
      <alignment vertical="center" wrapText="1"/>
    </xf>
    <xf numFmtId="176" fontId="11" fillId="2" borderId="132" xfId="1" applyNumberFormat="1" applyFont="1" applyFill="1" applyBorder="1" applyAlignment="1">
      <alignment vertical="center" wrapText="1"/>
    </xf>
    <xf numFmtId="177" fontId="11" fillId="2" borderId="76" xfId="1" applyNumberFormat="1" applyFont="1" applyFill="1" applyBorder="1" applyAlignment="1">
      <alignment vertical="center" wrapText="1"/>
    </xf>
    <xf numFmtId="176" fontId="11" fillId="2" borderId="131" xfId="1" applyNumberFormat="1" applyFont="1" applyFill="1" applyBorder="1" applyAlignment="1">
      <alignment vertical="center" wrapText="1"/>
    </xf>
    <xf numFmtId="177" fontId="11" fillId="2" borderId="133" xfId="1" applyNumberFormat="1" applyFont="1" applyFill="1" applyBorder="1" applyAlignment="1">
      <alignment vertical="center" wrapText="1"/>
    </xf>
    <xf numFmtId="176" fontId="11" fillId="2" borderId="134" xfId="1" applyNumberFormat="1" applyFont="1" applyFill="1" applyBorder="1" applyAlignment="1">
      <alignment vertical="center" wrapText="1"/>
    </xf>
    <xf numFmtId="0" fontId="11" fillId="2" borderId="38" xfId="1" applyFont="1" applyFill="1" applyBorder="1" applyAlignment="1">
      <alignment horizontal="left" vertical="center" wrapText="1"/>
    </xf>
    <xf numFmtId="177" fontId="11" fillId="2" borderId="39" xfId="1" applyNumberFormat="1" applyFont="1" applyFill="1" applyBorder="1" applyAlignment="1">
      <alignment vertical="center" wrapText="1"/>
    </xf>
    <xf numFmtId="177" fontId="11" fillId="2" borderId="135" xfId="1" applyNumberFormat="1" applyFont="1" applyFill="1" applyBorder="1" applyAlignment="1">
      <alignment vertical="center" wrapText="1"/>
    </xf>
    <xf numFmtId="0" fontId="11" fillId="2" borderId="85" xfId="1" applyFont="1" applyFill="1" applyBorder="1" applyAlignment="1">
      <alignment horizontal="left" vertical="center" wrapText="1"/>
    </xf>
    <xf numFmtId="177" fontId="11" fillId="2" borderId="85" xfId="1" applyNumberFormat="1" applyFont="1" applyFill="1" applyBorder="1" applyAlignment="1">
      <alignment horizontal="center" vertical="center" wrapText="1"/>
    </xf>
    <xf numFmtId="0" fontId="11" fillId="2" borderId="136" xfId="1" applyFont="1" applyFill="1" applyBorder="1" applyAlignment="1">
      <alignment vertical="center" wrapText="1"/>
    </xf>
    <xf numFmtId="0" fontId="11" fillId="2" borderId="124" xfId="1" applyFont="1" applyFill="1" applyBorder="1" applyAlignment="1">
      <alignment vertical="center" wrapText="1"/>
    </xf>
    <xf numFmtId="0" fontId="10" fillId="3" borderId="112" xfId="1" applyFont="1" applyFill="1" applyBorder="1" applyAlignment="1">
      <alignment horizontal="justify" vertical="center" wrapText="1"/>
    </xf>
    <xf numFmtId="177" fontId="10" fillId="3" borderId="112" xfId="1" applyNumberFormat="1" applyFont="1" applyFill="1" applyBorder="1" applyAlignment="1">
      <alignment horizontal="right" vertical="center" wrapText="1"/>
    </xf>
    <xf numFmtId="41" fontId="10" fillId="4" borderId="120" xfId="1" applyNumberFormat="1" applyFont="1" applyFill="1" applyBorder="1" applyAlignment="1">
      <alignment horizontal="justify" vertical="center" wrapText="1"/>
    </xf>
    <xf numFmtId="176" fontId="12" fillId="2" borderId="0" xfId="1" applyNumberFormat="1" applyFont="1" applyFill="1">
      <alignment vertical="center"/>
    </xf>
    <xf numFmtId="0" fontId="10" fillId="2" borderId="140" xfId="1" applyFont="1" applyFill="1" applyBorder="1" applyAlignment="1">
      <alignment horizontal="center" vertical="center" wrapText="1"/>
    </xf>
    <xf numFmtId="41" fontId="11" fillId="2" borderId="23" xfId="2" applyFont="1" applyFill="1" applyBorder="1" applyAlignment="1">
      <alignment horizontal="left" vertical="center" wrapText="1"/>
    </xf>
    <xf numFmtId="41" fontId="11" fillId="0" borderId="11" xfId="2" applyFont="1" applyFill="1" applyBorder="1" applyAlignment="1">
      <alignment horizontal="left" vertical="center" wrapText="1"/>
    </xf>
    <xf numFmtId="41" fontId="11" fillId="0" borderId="63" xfId="2" applyFont="1" applyFill="1" applyBorder="1" applyAlignment="1">
      <alignment horizontal="left" vertical="center" wrapText="1"/>
    </xf>
    <xf numFmtId="41" fontId="11" fillId="0" borderId="34" xfId="2" applyFont="1" applyFill="1" applyBorder="1" applyAlignment="1">
      <alignment vertical="center" wrapText="1"/>
    </xf>
    <xf numFmtId="41" fontId="11" fillId="2" borderId="132" xfId="2" applyFont="1" applyFill="1" applyBorder="1" applyAlignment="1">
      <alignment vertical="center" wrapText="1"/>
    </xf>
    <xf numFmtId="0" fontId="11" fillId="2" borderId="144" xfId="1" applyFont="1" applyFill="1" applyBorder="1" applyAlignment="1">
      <alignment horizontal="left" vertical="center" wrapText="1"/>
    </xf>
    <xf numFmtId="41" fontId="11" fillId="0" borderId="85" xfId="2" applyFont="1" applyFill="1" applyBorder="1" applyAlignment="1">
      <alignment horizontal="left" vertical="center" wrapText="1"/>
    </xf>
    <xf numFmtId="41" fontId="11" fillId="2" borderId="146" xfId="2" applyFont="1" applyFill="1" applyBorder="1" applyAlignment="1">
      <alignment horizontal="left" vertical="center" wrapText="1"/>
    </xf>
    <xf numFmtId="41" fontId="11" fillId="2" borderId="147" xfId="2" applyFont="1" applyFill="1" applyBorder="1" applyAlignment="1">
      <alignment vertical="center" wrapText="1"/>
    </xf>
    <xf numFmtId="0" fontId="11" fillId="2" borderId="40" xfId="1" applyFont="1" applyFill="1" applyBorder="1" applyAlignment="1">
      <alignment horizontal="left" vertical="center" wrapText="1"/>
    </xf>
    <xf numFmtId="41" fontId="11" fillId="0" borderId="34" xfId="2" applyFont="1" applyFill="1" applyBorder="1" applyAlignment="1">
      <alignment horizontal="left" vertical="center" wrapText="1"/>
    </xf>
    <xf numFmtId="41" fontId="11" fillId="2" borderId="148" xfId="2" applyFont="1" applyFill="1" applyBorder="1" applyAlignment="1">
      <alignment horizontal="left" vertical="center" wrapText="1"/>
    </xf>
    <xf numFmtId="41" fontId="12" fillId="2" borderId="149" xfId="2" applyFont="1" applyFill="1" applyBorder="1" applyAlignment="1">
      <alignment horizontal="right" vertical="center"/>
    </xf>
    <xf numFmtId="0" fontId="11" fillId="2" borderId="76" xfId="1" applyFont="1" applyFill="1" applyBorder="1" applyAlignment="1">
      <alignment horizontal="left" vertical="center" wrapText="1"/>
    </xf>
    <xf numFmtId="41" fontId="11" fillId="2" borderId="38" xfId="2" applyFont="1" applyFill="1" applyBorder="1" applyAlignment="1">
      <alignment horizontal="left" vertical="center" wrapText="1"/>
    </xf>
    <xf numFmtId="41" fontId="12" fillId="2" borderId="148" xfId="2" applyFont="1" applyFill="1" applyBorder="1" applyAlignment="1">
      <alignment horizontal="right" vertical="center"/>
    </xf>
    <xf numFmtId="41" fontId="12" fillId="2" borderId="28" xfId="2" applyFont="1" applyFill="1" applyBorder="1" applyAlignment="1">
      <alignment horizontal="right" vertical="center"/>
    </xf>
    <xf numFmtId="41" fontId="11" fillId="0" borderId="63" xfId="2" applyFont="1" applyFill="1" applyBorder="1" applyAlignment="1">
      <alignment vertical="center" wrapText="1"/>
    </xf>
    <xf numFmtId="41" fontId="11" fillId="2" borderId="146" xfId="2" applyFont="1" applyFill="1" applyBorder="1" applyAlignment="1">
      <alignment horizontal="right" vertical="center" wrapText="1"/>
    </xf>
    <xf numFmtId="41" fontId="11" fillId="0" borderId="11" xfId="2" applyFont="1" applyFill="1" applyBorder="1" applyAlignment="1">
      <alignment vertical="center" wrapText="1"/>
    </xf>
    <xf numFmtId="41" fontId="11" fillId="2" borderId="12" xfId="2" applyFont="1" applyFill="1" applyBorder="1" applyAlignment="1">
      <alignment horizontal="right" vertical="center" wrapText="1"/>
    </xf>
    <xf numFmtId="41" fontId="11" fillId="2" borderId="132" xfId="2" applyFont="1" applyFill="1" applyBorder="1" applyAlignment="1">
      <alignment horizontal="left" vertical="center" wrapText="1"/>
    </xf>
    <xf numFmtId="0" fontId="11" fillId="2" borderId="151" xfId="1" applyFont="1" applyFill="1" applyBorder="1" applyAlignment="1">
      <alignment vertical="center" wrapText="1"/>
    </xf>
    <xf numFmtId="0" fontId="11" fillId="2" borderId="88" xfId="1" applyFont="1" applyFill="1" applyBorder="1" applyAlignment="1">
      <alignment vertical="center" wrapText="1"/>
    </xf>
    <xf numFmtId="41" fontId="11" fillId="2" borderId="87" xfId="2" applyFont="1" applyFill="1" applyBorder="1" applyAlignment="1">
      <alignment vertical="center" wrapText="1"/>
    </xf>
    <xf numFmtId="41" fontId="11" fillId="0" borderId="87" xfId="2" applyFont="1" applyFill="1" applyBorder="1" applyAlignment="1">
      <alignment vertical="center" wrapText="1"/>
    </xf>
    <xf numFmtId="41" fontId="11" fillId="2" borderId="152" xfId="2" applyFont="1" applyFill="1" applyBorder="1" applyAlignment="1">
      <alignment horizontal="right" vertical="center" wrapText="1"/>
    </xf>
    <xf numFmtId="41" fontId="11" fillId="2" borderId="154" xfId="2" applyFont="1" applyFill="1" applyBorder="1" applyAlignment="1">
      <alignment horizontal="left" vertical="center" wrapText="1"/>
    </xf>
    <xf numFmtId="0" fontId="12" fillId="2" borderId="138" xfId="1" applyFont="1" applyFill="1" applyBorder="1" applyAlignment="1">
      <alignment vertical="center" wrapText="1"/>
    </xf>
    <xf numFmtId="0" fontId="10" fillId="2" borderId="155" xfId="1" applyFont="1" applyFill="1" applyBorder="1" applyAlignment="1">
      <alignment horizontal="center" vertical="center" wrapText="1"/>
    </xf>
    <xf numFmtId="0" fontId="10" fillId="2" borderId="128" xfId="1" applyFont="1" applyFill="1" applyBorder="1" applyAlignment="1">
      <alignment horizontal="right" vertical="center" wrapText="1"/>
    </xf>
    <xf numFmtId="41" fontId="10" fillId="2" borderId="90" xfId="1" applyNumberFormat="1" applyFont="1" applyFill="1" applyBorder="1" applyAlignment="1">
      <alignment horizontal="right" vertical="center" wrapText="1"/>
    </xf>
    <xf numFmtId="176" fontId="10" fillId="2" borderId="156" xfId="1" applyNumberFormat="1" applyFont="1" applyFill="1" applyBorder="1" applyAlignment="1">
      <alignment horizontal="right" vertical="center" wrapText="1"/>
    </xf>
    <xf numFmtId="0" fontId="10" fillId="2" borderId="157" xfId="1" applyFont="1" applyFill="1" applyBorder="1" applyAlignment="1">
      <alignment horizontal="center" vertical="center" wrapText="1"/>
    </xf>
    <xf numFmtId="41" fontId="11" fillId="2" borderId="98" xfId="2" applyFont="1" applyFill="1" applyBorder="1" applyAlignment="1">
      <alignment horizontal="right" vertical="center" wrapText="1"/>
    </xf>
    <xf numFmtId="177" fontId="11" fillId="2" borderId="158" xfId="1" applyNumberFormat="1" applyFont="1" applyFill="1" applyBorder="1" applyAlignment="1">
      <alignment horizontal="right" vertical="center"/>
    </xf>
    <xf numFmtId="41" fontId="11" fillId="2" borderId="43" xfId="2" applyFont="1" applyFill="1" applyBorder="1" applyAlignment="1">
      <alignment horizontal="right" vertical="center" wrapText="1"/>
    </xf>
    <xf numFmtId="177" fontId="11" fillId="2" borderId="71" xfId="1" applyNumberFormat="1" applyFont="1" applyFill="1" applyBorder="1" applyAlignment="1">
      <alignment horizontal="right" vertical="center"/>
    </xf>
    <xf numFmtId="41" fontId="11" fillId="2" borderId="63" xfId="2" applyFont="1" applyFill="1" applyBorder="1" applyAlignment="1">
      <alignment horizontal="right" vertical="center" wrapText="1"/>
    </xf>
    <xf numFmtId="41" fontId="11" fillId="2" borderId="131" xfId="2" applyFont="1" applyFill="1" applyBorder="1" applyAlignment="1">
      <alignment horizontal="right" vertical="center" wrapText="1"/>
    </xf>
    <xf numFmtId="41" fontId="11" fillId="2" borderId="76" xfId="2" applyFont="1" applyFill="1" applyBorder="1" applyAlignment="1">
      <alignment horizontal="right" vertical="center" wrapText="1"/>
    </xf>
    <xf numFmtId="41" fontId="11" fillId="2" borderId="134" xfId="2" applyFont="1" applyFill="1" applyBorder="1" applyAlignment="1">
      <alignment horizontal="right" vertical="center" wrapText="1"/>
    </xf>
    <xf numFmtId="41" fontId="11" fillId="2" borderId="11" xfId="2" applyFont="1" applyFill="1" applyBorder="1" applyAlignment="1">
      <alignment horizontal="right" vertical="center" wrapText="1"/>
    </xf>
    <xf numFmtId="177" fontId="11" fillId="2" borderId="79" xfId="1" applyNumberFormat="1" applyFont="1" applyFill="1" applyBorder="1" applyAlignment="1">
      <alignment horizontal="right" vertical="center" wrapText="1"/>
    </xf>
    <xf numFmtId="177" fontId="11" fillId="2" borderId="77" xfId="1" applyNumberFormat="1" applyFont="1" applyFill="1" applyBorder="1" applyAlignment="1">
      <alignment horizontal="right" vertical="center" wrapText="1"/>
    </xf>
    <xf numFmtId="41" fontId="11" fillId="2" borderId="34" xfId="2" applyFont="1" applyFill="1" applyBorder="1" applyAlignment="1">
      <alignment horizontal="right" vertical="center" wrapText="1"/>
    </xf>
    <xf numFmtId="41" fontId="11" fillId="2" borderId="82" xfId="2" applyFont="1" applyFill="1" applyBorder="1" applyAlignment="1">
      <alignment horizontal="right" vertical="center" wrapText="1"/>
    </xf>
    <xf numFmtId="177" fontId="11" fillId="2" borderId="83" xfId="1" applyNumberFormat="1" applyFont="1" applyFill="1" applyBorder="1" applyAlignment="1">
      <alignment horizontal="right" vertical="center" wrapText="1"/>
    </xf>
    <xf numFmtId="41" fontId="11" fillId="2" borderId="38" xfId="2" applyFont="1" applyFill="1" applyBorder="1" applyAlignment="1">
      <alignment horizontal="right" vertical="center" wrapText="1"/>
    </xf>
    <xf numFmtId="41" fontId="11" fillId="2" borderId="132" xfId="2" applyFont="1" applyFill="1" applyBorder="1" applyAlignment="1">
      <alignment horizontal="right" vertical="center" wrapText="1"/>
    </xf>
    <xf numFmtId="41" fontId="11" fillId="2" borderId="85" xfId="2" applyFont="1" applyFill="1" applyBorder="1" applyAlignment="1">
      <alignment horizontal="right" vertical="center" wrapText="1"/>
    </xf>
    <xf numFmtId="3" fontId="11" fillId="2" borderId="77" xfId="1" applyNumberFormat="1" applyFont="1" applyFill="1" applyBorder="1" applyAlignment="1">
      <alignment horizontal="right" vertical="center"/>
    </xf>
    <xf numFmtId="41" fontId="11" fillId="2" borderId="107" xfId="2" applyFont="1" applyFill="1" applyBorder="1" applyAlignment="1">
      <alignment horizontal="right" vertical="center" wrapText="1"/>
    </xf>
    <xf numFmtId="3" fontId="11" fillId="2" borderId="86" xfId="1" applyNumberFormat="1" applyFont="1" applyFill="1" applyBorder="1" applyAlignment="1">
      <alignment horizontal="right" vertical="center"/>
    </xf>
    <xf numFmtId="0" fontId="11" fillId="2" borderId="68" xfId="1" applyFont="1" applyFill="1" applyBorder="1" applyAlignment="1">
      <alignment horizontal="left" vertical="center" wrapText="1"/>
    </xf>
    <xf numFmtId="41" fontId="11" fillId="2" borderId="32" xfId="2" applyFont="1" applyFill="1" applyBorder="1" applyAlignment="1">
      <alignment horizontal="right" vertical="center" wrapText="1"/>
    </xf>
    <xf numFmtId="0" fontId="11" fillId="2" borderId="159" xfId="1" applyFont="1" applyFill="1" applyBorder="1" applyAlignment="1">
      <alignment horizontal="left" vertical="center" wrapText="1"/>
    </xf>
    <xf numFmtId="0" fontId="11" fillId="2" borderId="160" xfId="1" applyFont="1" applyFill="1" applyBorder="1" applyAlignment="1">
      <alignment horizontal="left" vertical="center" wrapText="1"/>
    </xf>
    <xf numFmtId="41" fontId="11" fillId="2" borderId="160" xfId="2" applyFont="1" applyFill="1" applyBorder="1" applyAlignment="1">
      <alignment horizontal="right" vertical="center" wrapText="1"/>
    </xf>
    <xf numFmtId="3" fontId="11" fillId="2" borderId="161" xfId="1" applyNumberFormat="1" applyFont="1" applyFill="1" applyBorder="1" applyAlignment="1">
      <alignment horizontal="right" vertical="center"/>
    </xf>
    <xf numFmtId="41" fontId="11" fillId="2" borderId="108" xfId="2" applyFont="1" applyFill="1" applyBorder="1" applyAlignment="1">
      <alignment horizontal="right" vertical="center" wrapText="1"/>
    </xf>
    <xf numFmtId="0" fontId="12" fillId="2" borderId="162" xfId="1" applyFont="1" applyFill="1" applyBorder="1" applyAlignment="1">
      <alignment vertical="center" wrapText="1"/>
    </xf>
    <xf numFmtId="0" fontId="10" fillId="2" borderId="163" xfId="1" applyFont="1" applyFill="1" applyBorder="1" applyAlignment="1">
      <alignment horizontal="center" vertical="center" wrapText="1"/>
    </xf>
    <xf numFmtId="0" fontId="10" fillId="2" borderId="59" xfId="1" applyFont="1" applyFill="1" applyBorder="1" applyAlignment="1">
      <alignment horizontal="center" vertical="center" wrapText="1"/>
    </xf>
    <xf numFmtId="41" fontId="10" fillId="2" borderId="57" xfId="2" applyFont="1" applyFill="1" applyBorder="1" applyAlignment="1">
      <alignment horizontal="right" vertical="center" wrapText="1"/>
    </xf>
    <xf numFmtId="0" fontId="10" fillId="2" borderId="89" xfId="1" applyFont="1" applyFill="1" applyBorder="1" applyAlignment="1">
      <alignment horizontal="center" vertical="center" wrapText="1"/>
    </xf>
    <xf numFmtId="0" fontId="10" fillId="2" borderId="56" xfId="1" applyFont="1" applyFill="1" applyBorder="1" applyAlignment="1">
      <alignment horizontal="right" vertical="center" wrapText="1"/>
    </xf>
    <xf numFmtId="41" fontId="10" fillId="2" borderId="164" xfId="2" applyFont="1" applyFill="1" applyBorder="1" applyAlignment="1">
      <alignment horizontal="right" vertical="center" wrapText="1"/>
    </xf>
    <xf numFmtId="41" fontId="10" fillId="2" borderId="165" xfId="2" applyFont="1" applyFill="1" applyBorder="1" applyAlignment="1">
      <alignment horizontal="right" vertical="center" wrapText="1"/>
    </xf>
    <xf numFmtId="41" fontId="11" fillId="2" borderId="129" xfId="2" applyFont="1" applyFill="1" applyBorder="1" applyAlignment="1">
      <alignment horizontal="right" vertical="center" wrapText="1"/>
    </xf>
    <xf numFmtId="41" fontId="11" fillId="2" borderId="99" xfId="2" applyFont="1" applyFill="1" applyBorder="1" applyAlignment="1">
      <alignment horizontal="right" vertical="center" wrapText="1"/>
    </xf>
    <xf numFmtId="177" fontId="11" fillId="2" borderId="146" xfId="1" applyNumberFormat="1" applyFont="1" applyFill="1" applyBorder="1" applyAlignment="1">
      <alignment horizontal="right" vertical="center" wrapText="1"/>
    </xf>
    <xf numFmtId="0" fontId="11" fillId="2" borderId="166" xfId="1" applyFont="1" applyFill="1" applyBorder="1" applyAlignment="1">
      <alignment vertical="center" wrapText="1"/>
    </xf>
    <xf numFmtId="41" fontId="11" fillId="2" borderId="130" xfId="2" applyFont="1" applyFill="1" applyBorder="1" applyAlignment="1">
      <alignment horizontal="right" vertical="center" wrapText="1"/>
    </xf>
    <xf numFmtId="41" fontId="11" fillId="2" borderId="167" xfId="2" applyFont="1" applyFill="1" applyBorder="1" applyAlignment="1">
      <alignment horizontal="right" vertical="center" wrapText="1"/>
    </xf>
    <xf numFmtId="0" fontId="11" fillId="2" borderId="166" xfId="1" applyFont="1" applyFill="1" applyBorder="1" applyAlignment="1">
      <alignment vertical="center" wrapText="1"/>
    </xf>
    <xf numFmtId="41" fontId="11" fillId="2" borderId="168" xfId="2" applyFont="1" applyFill="1" applyBorder="1" applyAlignment="1">
      <alignment horizontal="right" vertical="center" wrapText="1"/>
    </xf>
    <xf numFmtId="0" fontId="11" fillId="2" borderId="144" xfId="1" applyFont="1" applyFill="1" applyBorder="1" applyAlignment="1">
      <alignment vertical="center" wrapText="1"/>
    </xf>
    <xf numFmtId="41" fontId="11" fillId="2" borderId="36" xfId="2" applyFont="1" applyFill="1" applyBorder="1" applyAlignment="1">
      <alignment horizontal="right" vertical="center" wrapText="1"/>
    </xf>
    <xf numFmtId="0" fontId="11" fillId="2" borderId="150" xfId="1" applyFont="1" applyFill="1" applyBorder="1" applyAlignment="1">
      <alignment vertical="center" wrapText="1"/>
    </xf>
    <xf numFmtId="41" fontId="11" fillId="2" borderId="50" xfId="2" applyFont="1" applyFill="1" applyBorder="1" applyAlignment="1">
      <alignment horizontal="right" vertical="center" wrapText="1"/>
    </xf>
    <xf numFmtId="0" fontId="11" fillId="2" borderId="169" xfId="1" applyFont="1" applyFill="1" applyBorder="1" applyAlignment="1">
      <alignment vertical="center" wrapText="1"/>
    </xf>
    <xf numFmtId="41" fontId="11" fillId="2" borderId="170" xfId="2" applyFont="1" applyFill="1" applyBorder="1" applyAlignment="1">
      <alignment horizontal="right" vertical="center" wrapText="1"/>
    </xf>
    <xf numFmtId="0" fontId="11" fillId="2" borderId="171" xfId="1" applyFont="1" applyFill="1" applyBorder="1" applyAlignment="1">
      <alignment vertical="center" wrapText="1"/>
    </xf>
    <xf numFmtId="0" fontId="11" fillId="2" borderId="68" xfId="1" applyFont="1" applyFill="1" applyBorder="1" applyAlignment="1">
      <alignment vertical="center" wrapText="1"/>
    </xf>
    <xf numFmtId="41" fontId="11" fillId="2" borderId="48" xfId="2" applyFont="1" applyFill="1" applyBorder="1" applyAlignment="1">
      <alignment horizontal="right" vertical="center" wrapText="1"/>
    </xf>
    <xf numFmtId="0" fontId="11" fillId="2" borderId="16" xfId="1" applyFont="1" applyFill="1" applyBorder="1" applyAlignment="1">
      <alignment horizontal="justify" vertical="center" wrapText="1"/>
    </xf>
    <xf numFmtId="0" fontId="10" fillId="2" borderId="16" xfId="1" applyFont="1" applyFill="1" applyBorder="1" applyAlignment="1">
      <alignment horizontal="justify" vertical="center" wrapText="1"/>
    </xf>
    <xf numFmtId="41" fontId="10" fillId="2" borderId="17" xfId="2" applyFont="1" applyFill="1" applyBorder="1" applyAlignment="1">
      <alignment horizontal="justify" vertical="center" wrapText="1"/>
    </xf>
    <xf numFmtId="0" fontId="10" fillId="2" borderId="173" xfId="1" applyFont="1" applyFill="1" applyBorder="1" applyAlignment="1">
      <alignment horizontal="justify" vertical="center" wrapText="1"/>
    </xf>
    <xf numFmtId="0" fontId="10" fillId="2" borderId="119" xfId="1" applyFont="1" applyFill="1" applyBorder="1" applyAlignment="1">
      <alignment horizontal="center" vertical="center" wrapText="1"/>
    </xf>
    <xf numFmtId="0" fontId="10" fillId="2" borderId="117" xfId="1" applyFont="1" applyFill="1" applyBorder="1" applyAlignment="1">
      <alignment horizontal="justify" vertical="center" wrapText="1"/>
    </xf>
    <xf numFmtId="41" fontId="10" fillId="2" borderId="118" xfId="1" applyNumberFormat="1" applyFont="1" applyFill="1" applyBorder="1" applyAlignment="1">
      <alignment horizontal="justify" vertical="center" wrapText="1"/>
    </xf>
    <xf numFmtId="41" fontId="10" fillId="2" borderId="120" xfId="1" applyNumberFormat="1" applyFont="1" applyFill="1" applyBorder="1" applyAlignment="1">
      <alignment horizontal="justify" vertical="center" wrapText="1"/>
    </xf>
    <xf numFmtId="41" fontId="10" fillId="2" borderId="60" xfId="1" applyNumberFormat="1" applyFont="1" applyFill="1" applyBorder="1" applyAlignment="1">
      <alignment horizontal="justify" vertical="center" wrapText="1"/>
    </xf>
    <xf numFmtId="176" fontId="2" fillId="0" borderId="0" xfId="1" applyNumberFormat="1" applyFont="1">
      <alignment vertical="center"/>
    </xf>
    <xf numFmtId="176" fontId="2" fillId="2" borderId="0" xfId="1" applyNumberFormat="1" applyFont="1" applyFill="1" applyAlignment="1">
      <alignment horizontal="center" vertical="center"/>
    </xf>
    <xf numFmtId="176" fontId="10" fillId="2" borderId="14" xfId="1" applyNumberFormat="1" applyFont="1" applyFill="1" applyBorder="1" applyAlignment="1">
      <alignment horizontal="center" vertical="center" wrapText="1"/>
    </xf>
    <xf numFmtId="176" fontId="10" fillId="2" borderId="15" xfId="1" applyNumberFormat="1" applyFont="1" applyFill="1" applyBorder="1" applyAlignment="1">
      <alignment horizontal="center" vertical="center" wrapText="1"/>
    </xf>
    <xf numFmtId="176" fontId="10" fillId="2" borderId="140" xfId="1" applyNumberFormat="1" applyFont="1" applyFill="1" applyBorder="1" applyAlignment="1">
      <alignment horizontal="center" vertical="center" wrapText="1"/>
    </xf>
    <xf numFmtId="176" fontId="11" fillId="2" borderId="22" xfId="1" applyNumberFormat="1" applyFont="1" applyFill="1" applyBorder="1" applyAlignment="1">
      <alignment vertical="center" wrapText="1"/>
    </xf>
    <xf numFmtId="176" fontId="11" fillId="2" borderId="23" xfId="2" applyNumberFormat="1" applyFont="1" applyFill="1" applyBorder="1" applyAlignment="1">
      <alignment vertical="center" wrapText="1"/>
    </xf>
    <xf numFmtId="176" fontId="11" fillId="2" borderId="142" xfId="2" applyNumberFormat="1" applyFont="1" applyFill="1" applyBorder="1" applyAlignment="1">
      <alignment horizontal="right" vertical="center" wrapText="1"/>
    </xf>
    <xf numFmtId="176" fontId="11" fillId="2" borderId="23" xfId="1" applyNumberFormat="1" applyFont="1" applyFill="1" applyBorder="1" applyAlignment="1">
      <alignment horizontal="right" vertical="center" wrapText="1"/>
    </xf>
    <xf numFmtId="176" fontId="11" fillId="2" borderId="30" xfId="1" applyNumberFormat="1" applyFont="1" applyFill="1" applyBorder="1" applyAlignment="1">
      <alignment vertical="center" wrapText="1"/>
    </xf>
    <xf numFmtId="176" fontId="11" fillId="2" borderId="31" xfId="1" applyNumberFormat="1" applyFont="1" applyFill="1" applyBorder="1" applyAlignment="1">
      <alignment vertical="center" wrapText="1"/>
    </xf>
    <xf numFmtId="176" fontId="11" fillId="2" borderId="85" xfId="2" applyNumberFormat="1" applyFont="1" applyFill="1" applyBorder="1" applyAlignment="1">
      <alignment vertical="center" wrapText="1"/>
    </xf>
    <xf numFmtId="176" fontId="11" fillId="2" borderId="131" xfId="2" applyNumberFormat="1" applyFont="1" applyFill="1" applyBorder="1" applyAlignment="1">
      <alignment horizontal="right" vertical="center" wrapText="1"/>
    </xf>
    <xf numFmtId="176" fontId="11" fillId="2" borderId="85" xfId="2" applyNumberFormat="1" applyFont="1" applyFill="1" applyBorder="1" applyAlignment="1">
      <alignment horizontal="right" vertical="center" wrapText="1"/>
    </xf>
    <xf numFmtId="176" fontId="11" fillId="2" borderId="10" xfId="1" applyNumberFormat="1" applyFont="1" applyFill="1" applyBorder="1" applyAlignment="1">
      <alignment vertical="center" wrapText="1"/>
    </xf>
    <xf numFmtId="176" fontId="11" fillId="2" borderId="11" xfId="2" applyNumberFormat="1" applyFont="1" applyFill="1" applyBorder="1" applyAlignment="1">
      <alignment vertical="center" wrapText="1"/>
    </xf>
    <xf numFmtId="176" fontId="11" fillId="2" borderId="12" xfId="2" applyNumberFormat="1" applyFont="1" applyFill="1" applyBorder="1" applyAlignment="1">
      <alignment horizontal="right" vertical="center" wrapText="1"/>
    </xf>
    <xf numFmtId="176" fontId="11" fillId="2" borderId="11" xfId="1" applyNumberFormat="1" applyFont="1" applyFill="1" applyBorder="1" applyAlignment="1">
      <alignment horizontal="right" vertical="center" wrapText="1"/>
    </xf>
    <xf numFmtId="176" fontId="11" fillId="2" borderId="11" xfId="2" applyNumberFormat="1" applyFont="1" applyFill="1" applyBorder="1" applyAlignment="1">
      <alignment horizontal="right" vertical="center" wrapText="1"/>
    </xf>
    <xf numFmtId="176" fontId="11" fillId="2" borderId="63" xfId="2" applyNumberFormat="1" applyFont="1" applyFill="1" applyBorder="1" applyAlignment="1">
      <alignment horizontal="right" vertical="center" wrapText="1"/>
    </xf>
    <xf numFmtId="176" fontId="11" fillId="2" borderId="11" xfId="1" applyNumberFormat="1" applyFont="1" applyFill="1" applyBorder="1" applyAlignment="1">
      <alignment vertical="center" wrapText="1"/>
    </xf>
    <xf numFmtId="176" fontId="11" fillId="2" borderId="34" xfId="2" applyNumberFormat="1" applyFont="1" applyFill="1" applyBorder="1" applyAlignment="1">
      <alignment vertical="center" wrapText="1"/>
    </xf>
    <xf numFmtId="176" fontId="11" fillId="2" borderId="144" xfId="1" applyNumberFormat="1" applyFont="1" applyFill="1" applyBorder="1" applyAlignment="1">
      <alignment horizontal="left" vertical="center" wrapText="1"/>
    </xf>
    <xf numFmtId="176" fontId="11" fillId="2" borderId="31" xfId="1" applyNumberFormat="1" applyFont="1" applyFill="1" applyBorder="1" applyAlignment="1">
      <alignment horizontal="left" vertical="center" wrapText="1"/>
    </xf>
    <xf numFmtId="176" fontId="11" fillId="2" borderId="30" xfId="1" applyNumberFormat="1" applyFont="1" applyFill="1" applyBorder="1" applyAlignment="1">
      <alignment horizontal="left" vertical="center" wrapText="1"/>
    </xf>
    <xf numFmtId="176" fontId="11" fillId="2" borderId="71" xfId="2" applyNumberFormat="1" applyFont="1" applyFill="1" applyBorder="1" applyAlignment="1">
      <alignment horizontal="right" vertical="center" wrapText="1"/>
    </xf>
    <xf numFmtId="176" fontId="11" fillId="2" borderId="40" xfId="1" applyNumberFormat="1" applyFont="1" applyFill="1" applyBorder="1" applyAlignment="1">
      <alignment vertical="center" wrapText="1"/>
    </xf>
    <xf numFmtId="176" fontId="11" fillId="2" borderId="38" xfId="2" applyNumberFormat="1" applyFont="1" applyFill="1" applyBorder="1" applyAlignment="1">
      <alignment vertical="center" wrapText="1"/>
    </xf>
    <xf numFmtId="176" fontId="11" fillId="2" borderId="40" xfId="1" applyNumberFormat="1" applyFont="1" applyFill="1" applyBorder="1" applyAlignment="1">
      <alignment horizontal="left" vertical="center" wrapText="1"/>
    </xf>
    <xf numFmtId="176" fontId="11" fillId="2" borderId="10" xfId="1" applyNumberFormat="1" applyFont="1" applyFill="1" applyBorder="1" applyAlignment="1">
      <alignment horizontal="left" vertical="center" wrapText="1"/>
    </xf>
    <xf numFmtId="176" fontId="11" fillId="2" borderId="34" xfId="2" applyNumberFormat="1" applyFont="1" applyFill="1" applyBorder="1" applyAlignment="1">
      <alignment horizontal="right" vertical="center" wrapText="1"/>
    </xf>
    <xf numFmtId="176" fontId="11" fillId="2" borderId="41" xfId="1" applyNumberFormat="1" applyFont="1" applyFill="1" applyBorder="1" applyAlignment="1">
      <alignment vertical="center" wrapText="1"/>
    </xf>
    <xf numFmtId="176" fontId="11" fillId="2" borderId="42" xfId="1" applyNumberFormat="1" applyFont="1" applyFill="1" applyBorder="1" applyAlignment="1">
      <alignment vertical="center" wrapText="1"/>
    </xf>
    <xf numFmtId="176" fontId="11" fillId="2" borderId="43" xfId="1" applyNumberFormat="1" applyFont="1" applyFill="1" applyBorder="1" applyAlignment="1">
      <alignment vertical="center" wrapText="1"/>
    </xf>
    <xf numFmtId="176" fontId="11" fillId="2" borderId="76" xfId="1" applyNumberFormat="1" applyFont="1" applyFill="1" applyBorder="1" applyAlignment="1">
      <alignment horizontal="left" vertical="center" wrapText="1"/>
    </xf>
    <xf numFmtId="176" fontId="11" fillId="2" borderId="38" xfId="2" applyNumberFormat="1" applyFont="1" applyFill="1" applyBorder="1" applyAlignment="1">
      <alignment horizontal="right" vertical="center" wrapText="1"/>
    </xf>
    <xf numFmtId="176" fontId="11" fillId="2" borderId="32" xfId="1" applyNumberFormat="1" applyFont="1" applyFill="1" applyBorder="1" applyAlignment="1">
      <alignment horizontal="left" vertical="center" wrapText="1"/>
    </xf>
    <xf numFmtId="176" fontId="11" fillId="2" borderId="77" xfId="2" applyNumberFormat="1" applyFont="1" applyFill="1" applyBorder="1" applyAlignment="1">
      <alignment horizontal="right" vertical="center" wrapText="1"/>
    </xf>
    <xf numFmtId="176" fontId="11" fillId="2" borderId="63" xfId="2" applyNumberFormat="1" applyFont="1" applyFill="1" applyBorder="1" applyAlignment="1">
      <alignment vertical="center" wrapText="1"/>
    </xf>
    <xf numFmtId="176" fontId="11" fillId="2" borderId="64" xfId="2" applyNumberFormat="1" applyFont="1" applyFill="1" applyBorder="1" applyAlignment="1">
      <alignment horizontal="right" vertical="center" wrapText="1"/>
    </xf>
    <xf numFmtId="176" fontId="11" fillId="2" borderId="43" xfId="1" applyNumberFormat="1" applyFont="1" applyFill="1" applyBorder="1" applyAlignment="1">
      <alignment horizontal="left" vertical="center" wrapText="1"/>
    </xf>
    <xf numFmtId="176" fontId="11" fillId="2" borderId="151" xfId="1" applyNumberFormat="1" applyFont="1" applyFill="1" applyBorder="1" applyAlignment="1">
      <alignment vertical="center" wrapText="1"/>
    </xf>
    <xf numFmtId="176" fontId="11" fillId="2" borderId="88" xfId="1" applyNumberFormat="1" applyFont="1" applyFill="1" applyBorder="1" applyAlignment="1">
      <alignment vertical="center" wrapText="1"/>
    </xf>
    <xf numFmtId="176" fontId="11" fillId="2" borderId="87" xfId="2" applyNumberFormat="1" applyFont="1" applyFill="1" applyBorder="1" applyAlignment="1">
      <alignment vertical="center" wrapText="1"/>
    </xf>
    <xf numFmtId="176" fontId="12" fillId="2" borderId="13" xfId="1" applyNumberFormat="1" applyFont="1" applyFill="1" applyBorder="1" applyAlignment="1">
      <alignment vertical="center" wrapText="1"/>
    </xf>
    <xf numFmtId="176" fontId="10" fillId="3" borderId="55" xfId="1" applyNumberFormat="1" applyFont="1" applyFill="1" applyBorder="1" applyAlignment="1">
      <alignment horizontal="center" vertical="center" wrapText="1"/>
    </xf>
    <xf numFmtId="176" fontId="10" fillId="3" borderId="56" xfId="1" applyNumberFormat="1" applyFont="1" applyFill="1" applyBorder="1" applyAlignment="1">
      <alignment horizontal="right" vertical="center" wrapText="1"/>
    </xf>
    <xf numFmtId="176" fontId="10" fillId="3" borderId="164" xfId="1" applyNumberFormat="1" applyFont="1" applyFill="1" applyBorder="1" applyAlignment="1">
      <alignment horizontal="right" vertical="center" wrapText="1"/>
    </xf>
    <xf numFmtId="176" fontId="10" fillId="3" borderId="164" xfId="2" applyNumberFormat="1" applyFont="1" applyFill="1" applyBorder="1" applyAlignment="1">
      <alignment horizontal="right" vertical="center" wrapText="1"/>
    </xf>
    <xf numFmtId="176" fontId="10" fillId="3" borderId="165" xfId="2" applyNumberFormat="1" applyFont="1" applyFill="1" applyBorder="1" applyAlignment="1">
      <alignment horizontal="right" vertical="center" wrapText="1"/>
    </xf>
    <xf numFmtId="176" fontId="10" fillId="3" borderId="174" xfId="1" applyNumberFormat="1" applyFont="1" applyFill="1" applyBorder="1" applyAlignment="1">
      <alignment horizontal="center" vertical="center" wrapText="1"/>
    </xf>
    <xf numFmtId="176" fontId="10" fillId="3" borderId="111" xfId="1" applyNumberFormat="1" applyFont="1" applyFill="1" applyBorder="1" applyAlignment="1">
      <alignment horizontal="right" vertical="center" wrapText="1"/>
    </xf>
    <xf numFmtId="176" fontId="10" fillId="3" borderId="112" xfId="2" applyNumberFormat="1" applyFont="1" applyFill="1" applyBorder="1" applyAlignment="1">
      <alignment horizontal="right" vertical="center" wrapText="1"/>
    </xf>
    <xf numFmtId="176" fontId="10" fillId="3" borderId="178" xfId="2" applyNumberFormat="1" applyFont="1" applyFill="1" applyBorder="1" applyAlignment="1">
      <alignment horizontal="right" vertical="center" wrapText="1"/>
    </xf>
    <xf numFmtId="176" fontId="11" fillId="2" borderId="64" xfId="1" applyNumberFormat="1" applyFont="1" applyFill="1" applyBorder="1" applyAlignment="1">
      <alignment horizontal="right" vertical="center"/>
    </xf>
    <xf numFmtId="176" fontId="11" fillId="2" borderId="179" xfId="1" applyNumberFormat="1" applyFont="1" applyFill="1" applyBorder="1" applyAlignment="1">
      <alignment vertical="center" wrapText="1"/>
    </xf>
    <xf numFmtId="176" fontId="11" fillId="2" borderId="180" xfId="1" applyNumberFormat="1" applyFont="1" applyFill="1" applyBorder="1" applyAlignment="1">
      <alignment vertical="center" wrapText="1"/>
    </xf>
    <xf numFmtId="176" fontId="11" fillId="2" borderId="32" xfId="2" applyNumberFormat="1" applyFont="1" applyFill="1" applyBorder="1" applyAlignment="1">
      <alignment horizontal="right" vertical="center" wrapText="1"/>
    </xf>
    <xf numFmtId="176" fontId="11" fillId="2" borderId="64" xfId="1" applyNumberFormat="1" applyFont="1" applyFill="1" applyBorder="1" applyAlignment="1">
      <alignment horizontal="right" vertical="center" wrapText="1"/>
    </xf>
    <xf numFmtId="176" fontId="11" fillId="2" borderId="42" xfId="1" applyNumberFormat="1" applyFont="1" applyFill="1" applyBorder="1" applyAlignment="1">
      <alignment horizontal="left" vertical="center" wrapText="1"/>
    </xf>
    <xf numFmtId="176" fontId="11" fillId="2" borderId="43" xfId="2" applyNumberFormat="1" applyFont="1" applyFill="1" applyBorder="1" applyAlignment="1">
      <alignment horizontal="right" vertical="center" wrapText="1"/>
    </xf>
    <xf numFmtId="176" fontId="11" fillId="2" borderId="67" xfId="1" applyNumberFormat="1" applyFont="1" applyFill="1" applyBorder="1" applyAlignment="1">
      <alignment vertical="center" wrapText="1"/>
    </xf>
    <xf numFmtId="176" fontId="11" fillId="2" borderId="68" xfId="1" applyNumberFormat="1" applyFont="1" applyFill="1" applyBorder="1" applyAlignment="1">
      <alignment vertical="center" wrapText="1"/>
    </xf>
    <xf numFmtId="176" fontId="11" fillId="2" borderId="74" xfId="1" applyNumberFormat="1" applyFont="1" applyFill="1" applyBorder="1" applyAlignment="1">
      <alignment horizontal="left" vertical="center" wrapText="1"/>
    </xf>
    <xf numFmtId="176" fontId="11" fillId="2" borderId="75" xfId="1" applyNumberFormat="1" applyFont="1" applyFill="1" applyBorder="1" applyAlignment="1">
      <alignment vertical="center" wrapText="1"/>
    </xf>
    <xf numFmtId="176" fontId="11" fillId="2" borderId="76" xfId="2" applyNumberFormat="1" applyFont="1" applyFill="1" applyBorder="1" applyAlignment="1">
      <alignment horizontal="right" vertical="center" wrapText="1"/>
    </xf>
    <xf numFmtId="176" fontId="11" fillId="2" borderId="78" xfId="1" applyNumberFormat="1" applyFont="1" applyFill="1" applyBorder="1" applyAlignment="1">
      <alignment horizontal="left" vertical="center" wrapText="1"/>
    </xf>
    <xf numFmtId="176" fontId="11" fillId="2" borderId="80" xfId="1" applyNumberFormat="1" applyFont="1" applyFill="1" applyBorder="1" applyAlignment="1">
      <alignment horizontal="left" vertical="center" wrapText="1"/>
    </xf>
    <xf numFmtId="176" fontId="11" fillId="2" borderId="75" xfId="1" applyNumberFormat="1" applyFont="1" applyFill="1" applyBorder="1" applyAlignment="1">
      <alignment horizontal="left" vertical="center" wrapText="1"/>
    </xf>
    <xf numFmtId="176" fontId="11" fillId="2" borderId="72" xfId="1" applyNumberFormat="1" applyFont="1" applyFill="1" applyBorder="1" applyAlignment="1">
      <alignment horizontal="left" vertical="center" wrapText="1"/>
    </xf>
    <xf numFmtId="176" fontId="11" fillId="2" borderId="73" xfId="1" applyNumberFormat="1" applyFont="1" applyFill="1" applyBorder="1" applyAlignment="1">
      <alignment horizontal="left" vertical="center" wrapText="1"/>
    </xf>
    <xf numFmtId="176" fontId="11" fillId="2" borderId="82" xfId="2" applyNumberFormat="1" applyFont="1" applyFill="1" applyBorder="1" applyAlignment="1">
      <alignment horizontal="right" vertical="center" wrapText="1"/>
    </xf>
    <xf numFmtId="176" fontId="11" fillId="2" borderId="62" xfId="1" applyNumberFormat="1" applyFont="1" applyFill="1" applyBorder="1" applyAlignment="1">
      <alignment vertical="center" wrapText="1"/>
    </xf>
    <xf numFmtId="176" fontId="11" fillId="2" borderId="78" xfId="1" applyNumberFormat="1" applyFont="1" applyFill="1" applyBorder="1" applyAlignment="1">
      <alignment vertical="center" wrapText="1"/>
    </xf>
    <xf numFmtId="176" fontId="11" fillId="2" borderId="48" xfId="1" applyNumberFormat="1" applyFont="1" applyFill="1" applyBorder="1" applyAlignment="1">
      <alignment horizontal="left" vertical="center" wrapText="1"/>
    </xf>
    <xf numFmtId="176" fontId="11" fillId="2" borderId="80" xfId="1" applyNumberFormat="1" applyFont="1" applyFill="1" applyBorder="1" applyAlignment="1">
      <alignment vertical="center" wrapText="1"/>
    </xf>
    <xf numFmtId="176" fontId="11" fillId="2" borderId="77" xfId="1" applyNumberFormat="1" applyFont="1" applyFill="1" applyBorder="1" applyAlignment="1">
      <alignment horizontal="right" vertical="center" wrapText="1"/>
    </xf>
    <xf numFmtId="176" fontId="11" fillId="2" borderId="68" xfId="1" applyNumberFormat="1" applyFont="1" applyFill="1" applyBorder="1" applyAlignment="1">
      <alignment horizontal="left" vertical="center" wrapText="1"/>
    </xf>
    <xf numFmtId="176" fontId="11" fillId="2" borderId="69" xfId="1" applyNumberFormat="1" applyFont="1" applyFill="1" applyBorder="1" applyAlignment="1">
      <alignment horizontal="right" vertical="center"/>
    </xf>
    <xf numFmtId="176" fontId="11" fillId="2" borderId="31" xfId="2" applyNumberFormat="1" applyFont="1" applyFill="1" applyBorder="1" applyAlignment="1">
      <alignment horizontal="right" vertical="center" wrapText="1"/>
    </xf>
    <xf numFmtId="176" fontId="11" fillId="2" borderId="65" xfId="1" applyNumberFormat="1" applyFont="1" applyFill="1" applyBorder="1" applyAlignment="1">
      <alignment horizontal="right" vertical="center" wrapText="1"/>
    </xf>
    <xf numFmtId="176" fontId="10" fillId="2" borderId="66" xfId="1" applyNumberFormat="1" applyFont="1" applyFill="1" applyBorder="1" applyAlignment="1">
      <alignment horizontal="center" vertical="center" wrapText="1"/>
    </xf>
    <xf numFmtId="176" fontId="11" fillId="2" borderId="62" xfId="1" applyNumberFormat="1" applyFont="1" applyFill="1" applyBorder="1" applyAlignment="1">
      <alignment horizontal="left" vertical="center" wrapText="1"/>
    </xf>
    <xf numFmtId="176" fontId="11" fillId="2" borderId="65" xfId="1" applyNumberFormat="1" applyFont="1" applyFill="1" applyBorder="1" applyAlignment="1">
      <alignment horizontal="right" vertical="center"/>
    </xf>
    <xf numFmtId="176" fontId="11" fillId="2" borderId="123" xfId="1" applyNumberFormat="1" applyFont="1" applyFill="1" applyBorder="1" applyAlignment="1">
      <alignment vertical="center" wrapText="1"/>
    </xf>
    <xf numFmtId="176" fontId="11" fillId="2" borderId="124" xfId="1" applyNumberFormat="1" applyFont="1" applyFill="1" applyBorder="1" applyAlignment="1">
      <alignment vertical="center" wrapText="1"/>
    </xf>
    <xf numFmtId="176" fontId="12" fillId="2" borderId="66" xfId="1" applyNumberFormat="1" applyFont="1" applyFill="1" applyBorder="1" applyAlignment="1">
      <alignment vertical="center" wrapText="1"/>
    </xf>
    <xf numFmtId="176" fontId="10" fillId="3" borderId="127" xfId="1" applyNumberFormat="1" applyFont="1" applyFill="1" applyBorder="1" applyAlignment="1">
      <alignment horizontal="center" vertical="center" wrapText="1"/>
    </xf>
    <xf numFmtId="176" fontId="10" fillId="3" borderId="128" xfId="1" applyNumberFormat="1" applyFont="1" applyFill="1" applyBorder="1" applyAlignment="1">
      <alignment horizontal="center" vertical="center" wrapText="1"/>
    </xf>
    <xf numFmtId="176" fontId="10" fillId="3" borderId="90" xfId="2" applyNumberFormat="1" applyFont="1" applyFill="1" applyBorder="1" applyAlignment="1">
      <alignment horizontal="right" vertical="center" wrapText="1"/>
    </xf>
    <xf numFmtId="176" fontId="10" fillId="3" borderId="126" xfId="1" applyNumberFormat="1" applyFont="1" applyFill="1" applyBorder="1" applyAlignment="1">
      <alignment horizontal="right" vertical="center"/>
    </xf>
    <xf numFmtId="176" fontId="10" fillId="3" borderId="128" xfId="1" applyNumberFormat="1" applyFont="1" applyFill="1" applyBorder="1" applyAlignment="1">
      <alignment horizontal="right" vertical="center" wrapText="1"/>
    </xf>
    <xf numFmtId="176" fontId="10" fillId="3" borderId="126" xfId="1" applyNumberFormat="1" applyFont="1" applyFill="1" applyBorder="1" applyAlignment="1">
      <alignment horizontal="right" vertical="center" wrapText="1"/>
    </xf>
    <xf numFmtId="176" fontId="11" fillId="2" borderId="97" xfId="1" applyNumberFormat="1" applyFont="1" applyFill="1" applyBorder="1" applyAlignment="1">
      <alignment horizontal="left" vertical="center" wrapText="1"/>
    </xf>
    <xf numFmtId="176" fontId="11" fillId="2" borderId="98" xfId="2" applyNumberFormat="1" applyFont="1" applyFill="1" applyBorder="1" applyAlignment="1">
      <alignment horizontal="right" vertical="center" wrapText="1"/>
    </xf>
    <xf numFmtId="176" fontId="11" fillId="2" borderId="181" xfId="2" applyNumberFormat="1" applyFont="1" applyFill="1" applyBorder="1" applyAlignment="1">
      <alignment horizontal="right" vertical="center" wrapText="1"/>
    </xf>
    <xf numFmtId="176" fontId="11" fillId="2" borderId="93" xfId="1" applyNumberFormat="1" applyFont="1" applyFill="1" applyBorder="1" applyAlignment="1">
      <alignment horizontal="right" vertical="center" wrapText="1"/>
    </xf>
    <xf numFmtId="176" fontId="11" fillId="2" borderId="100" xfId="1" applyNumberFormat="1" applyFont="1" applyFill="1" applyBorder="1" applyAlignment="1">
      <alignment vertical="center" wrapText="1"/>
    </xf>
    <xf numFmtId="176" fontId="11" fillId="2" borderId="101" xfId="1" applyNumberFormat="1" applyFont="1" applyFill="1" applyBorder="1" applyAlignment="1">
      <alignment vertical="center" wrapText="1"/>
    </xf>
    <xf numFmtId="176" fontId="11" fillId="2" borderId="94" xfId="1" applyNumberFormat="1" applyFont="1" applyFill="1" applyBorder="1" applyAlignment="1">
      <alignment horizontal="right" vertical="center" wrapText="1"/>
    </xf>
    <xf numFmtId="176" fontId="11" fillId="2" borderId="38" xfId="1" applyNumberFormat="1" applyFont="1" applyFill="1" applyBorder="1" applyAlignment="1">
      <alignment horizontal="right" vertical="center" wrapText="1"/>
    </xf>
    <xf numFmtId="176" fontId="11" fillId="2" borderId="37" xfId="1" applyNumberFormat="1" applyFont="1" applyFill="1" applyBorder="1" applyAlignment="1">
      <alignment vertical="center" wrapText="1"/>
    </xf>
    <xf numFmtId="176" fontId="11" fillId="2" borderId="29" xfId="1" applyNumberFormat="1" applyFont="1" applyFill="1" applyBorder="1" applyAlignment="1">
      <alignment vertical="center" wrapText="1"/>
    </xf>
    <xf numFmtId="176" fontId="11" fillId="2" borderId="70" xfId="1" applyNumberFormat="1" applyFont="1" applyFill="1" applyBorder="1" applyAlignment="1">
      <alignment vertical="center" wrapText="1"/>
    </xf>
    <xf numFmtId="176" fontId="11" fillId="2" borderId="105" xfId="1" applyNumberFormat="1" applyFont="1" applyFill="1" applyBorder="1" applyAlignment="1">
      <alignment vertical="center" wrapText="1"/>
    </xf>
    <xf numFmtId="176" fontId="11" fillId="2" borderId="106" xfId="1" applyNumberFormat="1" applyFont="1" applyFill="1" applyBorder="1" applyAlignment="1">
      <alignment vertical="center" wrapText="1"/>
    </xf>
    <xf numFmtId="176" fontId="11" fillId="2" borderId="145" xfId="1" applyNumberFormat="1" applyFont="1" applyFill="1" applyBorder="1" applyAlignment="1">
      <alignment vertical="center" wrapText="1"/>
    </xf>
    <xf numFmtId="176" fontId="10" fillId="2" borderId="102" xfId="1" applyNumberFormat="1" applyFont="1" applyFill="1" applyBorder="1" applyAlignment="1">
      <alignment horizontal="center" vertical="center" wrapText="1"/>
    </xf>
    <xf numFmtId="176" fontId="11" fillId="2" borderId="32" xfId="1" applyNumberFormat="1" applyFont="1" applyFill="1" applyBorder="1" applyAlignment="1">
      <alignment horizontal="right" vertical="center" wrapText="1"/>
    </xf>
    <xf numFmtId="176" fontId="12" fillId="2" borderId="109" xfId="1" applyNumberFormat="1" applyFont="1" applyFill="1" applyBorder="1" applyAlignment="1">
      <alignment vertical="center" wrapText="1"/>
    </xf>
    <xf numFmtId="176" fontId="10" fillId="3" borderId="110" xfId="1" applyNumberFormat="1" applyFont="1" applyFill="1" applyBorder="1" applyAlignment="1">
      <alignment horizontal="center" vertical="center" wrapText="1"/>
    </xf>
    <xf numFmtId="176" fontId="11" fillId="3" borderId="111" xfId="1" applyNumberFormat="1" applyFont="1" applyFill="1" applyBorder="1" applyAlignment="1">
      <alignment horizontal="justify" vertical="center" wrapText="1"/>
    </xf>
    <xf numFmtId="176" fontId="10" fillId="3" borderId="111" xfId="1" applyNumberFormat="1" applyFont="1" applyFill="1" applyBorder="1" applyAlignment="1">
      <alignment horizontal="justify" vertical="center" wrapText="1"/>
    </xf>
    <xf numFmtId="176" fontId="10" fillId="3" borderId="112" xfId="1" applyNumberFormat="1" applyFont="1" applyFill="1" applyBorder="1" applyAlignment="1">
      <alignment horizontal="right" vertical="center" wrapText="1"/>
    </xf>
    <xf numFmtId="176" fontId="10" fillId="3" borderId="113" xfId="1" applyNumberFormat="1" applyFont="1" applyFill="1" applyBorder="1" applyAlignment="1">
      <alignment horizontal="center" vertical="center" wrapText="1"/>
    </xf>
    <xf numFmtId="176" fontId="10" fillId="4" borderId="115" xfId="1" applyNumberFormat="1" applyFont="1" applyFill="1" applyBorder="1" applyAlignment="1">
      <alignment horizontal="justify" vertical="center" wrapText="1"/>
    </xf>
    <xf numFmtId="176" fontId="10" fillId="4" borderId="116" xfId="1" applyNumberFormat="1" applyFont="1" applyFill="1" applyBorder="1" applyAlignment="1">
      <alignment horizontal="center" vertical="center" wrapText="1"/>
    </xf>
    <xf numFmtId="176" fontId="10" fillId="4" borderId="117" xfId="1" applyNumberFormat="1" applyFont="1" applyFill="1" applyBorder="1" applyAlignment="1">
      <alignment horizontal="justify" vertical="center" wrapText="1"/>
    </xf>
    <xf numFmtId="176" fontId="10" fillId="4" borderId="112" xfId="2" applyNumberFormat="1" applyFont="1" applyFill="1" applyBorder="1" applyAlignment="1">
      <alignment horizontal="right" vertical="center" wrapText="1"/>
    </xf>
    <xf numFmtId="176" fontId="10" fillId="4" borderId="112" xfId="1" applyNumberFormat="1" applyFont="1" applyFill="1" applyBorder="1" applyAlignment="1">
      <alignment horizontal="right" vertical="center" wrapText="1"/>
    </xf>
    <xf numFmtId="176" fontId="10" fillId="4" borderId="119" xfId="1" applyNumberFormat="1" applyFont="1" applyFill="1" applyBorder="1" applyAlignment="1">
      <alignment horizontal="center" vertical="center" wrapText="1"/>
    </xf>
    <xf numFmtId="176" fontId="10" fillId="4" borderId="118" xfId="2" applyNumberFormat="1" applyFont="1" applyFill="1" applyBorder="1" applyAlignment="1">
      <alignment horizontal="right" vertical="center" wrapText="1"/>
    </xf>
    <xf numFmtId="0" fontId="11" fillId="2" borderId="23" xfId="1" applyFont="1" applyFill="1" applyBorder="1" applyAlignment="1">
      <alignment vertical="center" wrapText="1"/>
    </xf>
    <xf numFmtId="0" fontId="11" fillId="2" borderId="23" xfId="1" applyFont="1" applyFill="1" applyBorder="1" applyAlignment="1">
      <alignment horizontal="left" vertical="center" wrapText="1"/>
    </xf>
    <xf numFmtId="0" fontId="11" fillId="2" borderId="63" xfId="1" applyFont="1" applyFill="1" applyBorder="1" applyAlignment="1">
      <alignment horizontal="left" vertical="center" wrapText="1"/>
    </xf>
    <xf numFmtId="177" fontId="11" fillId="2" borderId="132" xfId="1" applyNumberFormat="1" applyFont="1" applyFill="1" applyBorder="1" applyAlignment="1">
      <alignment vertical="center" wrapText="1"/>
    </xf>
    <xf numFmtId="176" fontId="11" fillId="2" borderId="71" xfId="1" applyNumberFormat="1" applyFont="1" applyFill="1" applyBorder="1" applyAlignment="1">
      <alignment horizontal="left" vertical="center" wrapText="1"/>
    </xf>
    <xf numFmtId="177" fontId="11" fillId="2" borderId="147" xfId="1" applyNumberFormat="1" applyFont="1" applyFill="1" applyBorder="1" applyAlignment="1">
      <alignment vertical="center" wrapText="1"/>
    </xf>
    <xf numFmtId="176" fontId="11" fillId="2" borderId="183" xfId="1" applyNumberFormat="1" applyFont="1" applyFill="1" applyBorder="1" applyAlignment="1">
      <alignment horizontal="left" vertical="center" wrapText="1"/>
    </xf>
    <xf numFmtId="177" fontId="11" fillId="2" borderId="38" xfId="1" applyNumberFormat="1" applyFont="1" applyFill="1" applyBorder="1" applyAlignment="1">
      <alignment vertical="center" wrapText="1"/>
    </xf>
    <xf numFmtId="177" fontId="11" fillId="2" borderId="34" xfId="1" applyNumberFormat="1" applyFont="1" applyFill="1" applyBorder="1" applyAlignment="1">
      <alignment vertical="center" wrapText="1"/>
    </xf>
    <xf numFmtId="177" fontId="12" fillId="2" borderId="149" xfId="1" applyNumberFormat="1" applyFont="1" applyFill="1" applyBorder="1" applyAlignment="1">
      <alignment horizontal="right" vertical="center"/>
    </xf>
    <xf numFmtId="177" fontId="12" fillId="2" borderId="148" xfId="1" applyNumberFormat="1" applyFont="1" applyFill="1" applyBorder="1" applyAlignment="1">
      <alignment horizontal="right" vertical="center"/>
    </xf>
    <xf numFmtId="177" fontId="12" fillId="2" borderId="28" xfId="1" applyNumberFormat="1" applyFont="1" applyFill="1" applyBorder="1" applyAlignment="1">
      <alignment horizontal="right" vertical="center"/>
    </xf>
    <xf numFmtId="177" fontId="11" fillId="2" borderId="12" xfId="1" applyNumberFormat="1" applyFont="1" applyFill="1" applyBorder="1" applyAlignment="1">
      <alignment horizontal="right" vertical="center" wrapText="1"/>
    </xf>
    <xf numFmtId="176" fontId="11" fillId="2" borderId="84" xfId="1" applyNumberFormat="1" applyFont="1" applyFill="1" applyBorder="1" applyAlignment="1">
      <alignment horizontal="left" vertical="center" wrapText="1"/>
    </xf>
    <xf numFmtId="0" fontId="11" fillId="2" borderId="87" xfId="1" applyFont="1" applyFill="1" applyBorder="1" applyAlignment="1">
      <alignment vertical="center" wrapText="1"/>
    </xf>
    <xf numFmtId="177" fontId="11" fillId="2" borderId="152" xfId="1" applyNumberFormat="1" applyFont="1" applyFill="1" applyBorder="1" applyAlignment="1">
      <alignment horizontal="right" vertical="center" wrapText="1"/>
    </xf>
    <xf numFmtId="176" fontId="11" fillId="2" borderId="125" xfId="1" applyNumberFormat="1" applyFont="1" applyFill="1" applyBorder="1" applyAlignment="1">
      <alignment horizontal="left" vertical="center" wrapText="1"/>
    </xf>
    <xf numFmtId="0" fontId="10" fillId="3" borderId="164" xfId="1" applyFont="1" applyFill="1" applyBorder="1" applyAlignment="1">
      <alignment horizontal="right" vertical="center" wrapText="1"/>
    </xf>
    <xf numFmtId="177" fontId="10" fillId="3" borderId="165" xfId="1" applyNumberFormat="1" applyFont="1" applyFill="1" applyBorder="1" applyAlignment="1">
      <alignment horizontal="right" vertical="center" wrapText="1"/>
    </xf>
    <xf numFmtId="0" fontId="10" fillId="3" borderId="174" xfId="1" applyFont="1" applyFill="1" applyBorder="1" applyAlignment="1">
      <alignment horizontal="center" vertical="center" wrapText="1"/>
    </xf>
    <xf numFmtId="0" fontId="10" fillId="3" borderId="111" xfId="1" applyFont="1" applyFill="1" applyBorder="1" applyAlignment="1">
      <alignment horizontal="right" vertical="center" wrapText="1"/>
    </xf>
    <xf numFmtId="0" fontId="10" fillId="3" borderId="112" xfId="1" applyFont="1" applyFill="1" applyBorder="1" applyAlignment="1">
      <alignment horizontal="right" vertical="center" wrapText="1"/>
    </xf>
    <xf numFmtId="176" fontId="10" fillId="3" borderId="178" xfId="1" applyNumberFormat="1" applyFont="1" applyFill="1" applyBorder="1" applyAlignment="1">
      <alignment horizontal="right" vertical="center" wrapText="1"/>
    </xf>
    <xf numFmtId="41" fontId="11" fillId="2" borderId="63" xfId="1" applyNumberFormat="1" applyFont="1" applyFill="1" applyBorder="1" applyAlignment="1">
      <alignment horizontal="left" vertical="center" wrapText="1"/>
    </xf>
    <xf numFmtId="41" fontId="11" fillId="2" borderId="64" xfId="1" applyNumberFormat="1" applyFont="1" applyFill="1" applyBorder="1" applyAlignment="1">
      <alignment horizontal="right" vertical="center"/>
    </xf>
    <xf numFmtId="41" fontId="11" fillId="2" borderId="23" xfId="1" applyNumberFormat="1" applyFont="1" applyFill="1" applyBorder="1" applyAlignment="1">
      <alignment horizontal="left" vertical="center" wrapText="1"/>
    </xf>
    <xf numFmtId="41" fontId="11" fillId="2" borderId="32" xfId="1" applyNumberFormat="1" applyFont="1" applyFill="1" applyBorder="1" applyAlignment="1">
      <alignment horizontal="left" vertical="center" wrapText="1"/>
    </xf>
    <xf numFmtId="41" fontId="11" fillId="2" borderId="64" xfId="1" applyNumberFormat="1" applyFont="1" applyFill="1" applyBorder="1" applyAlignment="1">
      <alignment vertical="center" wrapText="1"/>
    </xf>
    <xf numFmtId="41" fontId="11" fillId="2" borderId="77" xfId="1" applyNumberFormat="1" applyFont="1" applyFill="1" applyBorder="1" applyAlignment="1">
      <alignment vertical="center" wrapText="1"/>
    </xf>
    <xf numFmtId="41" fontId="11" fillId="2" borderId="11" xfId="1" applyNumberFormat="1" applyFont="1" applyFill="1" applyBorder="1" applyAlignment="1">
      <alignment horizontal="left" vertical="center" wrapText="1"/>
    </xf>
    <xf numFmtId="41" fontId="11" fillId="2" borderId="43" xfId="1" applyNumberFormat="1" applyFont="1" applyFill="1" applyBorder="1" applyAlignment="1">
      <alignment vertical="center" wrapText="1"/>
    </xf>
    <xf numFmtId="41" fontId="11" fillId="2" borderId="71" xfId="1" applyNumberFormat="1" applyFont="1" applyFill="1" applyBorder="1" applyAlignment="1">
      <alignment horizontal="right" vertical="center" wrapText="1"/>
    </xf>
    <xf numFmtId="41" fontId="11" fillId="2" borderId="11" xfId="1" applyNumberFormat="1" applyFont="1" applyFill="1" applyBorder="1" applyAlignment="1">
      <alignment vertical="center" wrapText="1"/>
    </xf>
    <xf numFmtId="41" fontId="11" fillId="2" borderId="76" xfId="1" applyNumberFormat="1" applyFont="1" applyFill="1" applyBorder="1" applyAlignment="1">
      <alignment horizontal="left" vertical="center" wrapText="1"/>
    </xf>
    <xf numFmtId="41" fontId="11" fillId="2" borderId="81" xfId="1" applyNumberFormat="1" applyFont="1" applyFill="1" applyBorder="1" applyAlignment="1">
      <alignment horizontal="right" vertical="center" wrapText="1"/>
    </xf>
    <xf numFmtId="41" fontId="11" fillId="2" borderId="82" xfId="1" applyNumberFormat="1" applyFont="1" applyFill="1" applyBorder="1" applyAlignment="1">
      <alignment horizontal="left" vertical="center" wrapText="1"/>
    </xf>
    <xf numFmtId="41" fontId="11" fillId="2" borderId="38" xfId="1" applyNumberFormat="1" applyFont="1" applyFill="1" applyBorder="1" applyAlignment="1">
      <alignment vertical="center" wrapText="1"/>
    </xf>
    <xf numFmtId="41" fontId="11" fillId="2" borderId="84" xfId="1" applyNumberFormat="1" applyFont="1" applyFill="1" applyBorder="1" applyAlignment="1">
      <alignment vertical="center" wrapText="1"/>
    </xf>
    <xf numFmtId="41" fontId="11" fillId="2" borderId="85" xfId="1" applyNumberFormat="1" applyFont="1" applyFill="1" applyBorder="1" applyAlignment="1">
      <alignment vertical="center" wrapText="1"/>
    </xf>
    <xf numFmtId="41" fontId="11" fillId="2" borderId="79" xfId="1" applyNumberFormat="1" applyFont="1" applyFill="1" applyBorder="1" applyAlignment="1">
      <alignment vertical="center" wrapText="1"/>
    </xf>
    <xf numFmtId="41" fontId="11" fillId="2" borderId="69" xfId="1" applyNumberFormat="1" applyFont="1" applyFill="1" applyBorder="1" applyAlignment="1">
      <alignment horizontal="right" vertical="center"/>
    </xf>
    <xf numFmtId="0" fontId="11" fillId="2" borderId="31" xfId="1" applyFont="1" applyFill="1" applyBorder="1" applyAlignment="1">
      <alignment vertical="center" wrapText="1"/>
    </xf>
    <xf numFmtId="41" fontId="11" fillId="2" borderId="65" xfId="1" applyNumberFormat="1" applyFont="1" applyFill="1" applyBorder="1" applyAlignment="1">
      <alignment vertical="center" wrapText="1"/>
    </xf>
    <xf numFmtId="0" fontId="11" fillId="2" borderId="123" xfId="1" applyFont="1" applyFill="1" applyBorder="1" applyAlignment="1">
      <alignment vertical="center" wrapText="1"/>
    </xf>
    <xf numFmtId="0" fontId="11" fillId="2" borderId="124" xfId="1" applyFont="1" applyFill="1" applyBorder="1" applyAlignment="1">
      <alignment horizontal="left" vertical="center" wrapText="1"/>
    </xf>
    <xf numFmtId="0" fontId="10" fillId="3" borderId="128" xfId="1" applyFont="1" applyFill="1" applyBorder="1" applyAlignment="1">
      <alignment horizontal="center" vertical="center" wrapText="1"/>
    </xf>
    <xf numFmtId="41" fontId="10" fillId="3" borderId="90" xfId="1" applyNumberFormat="1" applyFont="1" applyFill="1" applyBorder="1" applyAlignment="1">
      <alignment horizontal="center" vertical="center" wrapText="1"/>
    </xf>
    <xf numFmtId="3" fontId="10" fillId="3" borderId="126" xfId="1" applyNumberFormat="1" applyFont="1" applyFill="1" applyBorder="1" applyAlignment="1">
      <alignment horizontal="right" vertical="center"/>
    </xf>
    <xf numFmtId="41" fontId="10" fillId="3" borderId="112" xfId="1" applyNumberFormat="1" applyFont="1" applyFill="1" applyBorder="1" applyAlignment="1">
      <alignment horizontal="right" vertical="center" wrapText="1"/>
    </xf>
    <xf numFmtId="41" fontId="10" fillId="3" borderId="178" xfId="1" applyNumberFormat="1" applyFont="1" applyFill="1" applyBorder="1" applyAlignment="1">
      <alignment horizontal="right" vertical="center" wrapText="1"/>
    </xf>
    <xf numFmtId="177" fontId="11" fillId="2" borderId="185" xfId="1" applyNumberFormat="1" applyFont="1" applyFill="1" applyBorder="1" applyAlignment="1">
      <alignment horizontal="right" vertical="center" wrapText="1"/>
    </xf>
    <xf numFmtId="0" fontId="11" fillId="2" borderId="186" xfId="1" applyFont="1" applyFill="1" applyBorder="1" applyAlignment="1">
      <alignment vertical="center" wrapText="1"/>
    </xf>
    <xf numFmtId="0" fontId="11" fillId="2" borderId="180" xfId="1" applyFont="1" applyFill="1" applyBorder="1" applyAlignment="1">
      <alignment vertical="center" wrapText="1"/>
    </xf>
    <xf numFmtId="0" fontId="11" fillId="2" borderId="187" xfId="1" applyFont="1" applyFill="1" applyBorder="1" applyAlignment="1">
      <alignment vertical="center" wrapText="1"/>
    </xf>
    <xf numFmtId="176" fontId="11" fillId="2" borderId="188" xfId="1" applyNumberFormat="1" applyFont="1" applyFill="1" applyBorder="1" applyAlignment="1">
      <alignment vertical="center" wrapText="1"/>
    </xf>
    <xf numFmtId="176" fontId="11" fillId="2" borderId="189" xfId="1" applyNumberFormat="1" applyFont="1" applyFill="1" applyBorder="1" applyAlignment="1">
      <alignment vertical="center" wrapText="1"/>
    </xf>
    <xf numFmtId="176" fontId="11" fillId="2" borderId="190" xfId="1" applyNumberFormat="1" applyFont="1" applyFill="1" applyBorder="1" applyAlignment="1">
      <alignment horizontal="right" vertical="center" wrapText="1"/>
    </xf>
    <xf numFmtId="177" fontId="11" fillId="2" borderId="131" xfId="1" applyNumberFormat="1" applyFont="1" applyFill="1" applyBorder="1" applyAlignment="1">
      <alignment vertical="center" wrapText="1"/>
    </xf>
    <xf numFmtId="176" fontId="11" fillId="2" borderId="84" xfId="1" applyNumberFormat="1" applyFont="1" applyFill="1" applyBorder="1" applyAlignment="1">
      <alignment vertical="center" wrapText="1"/>
    </xf>
    <xf numFmtId="177" fontId="11" fillId="2" borderId="134" xfId="1" applyNumberFormat="1" applyFont="1" applyFill="1" applyBorder="1" applyAlignment="1">
      <alignment vertical="center" wrapText="1"/>
    </xf>
    <xf numFmtId="176" fontId="11" fillId="2" borderId="64" xfId="1" applyNumberFormat="1" applyFont="1" applyFill="1" applyBorder="1" applyAlignment="1">
      <alignment vertical="center" wrapText="1"/>
    </xf>
    <xf numFmtId="177" fontId="11" fillId="2" borderId="149" xfId="1" applyNumberFormat="1" applyFont="1" applyFill="1" applyBorder="1" applyAlignment="1">
      <alignment vertical="center" wrapText="1"/>
    </xf>
    <xf numFmtId="176" fontId="11" fillId="2" borderId="77" xfId="1" applyNumberFormat="1" applyFont="1" applyFill="1" applyBorder="1" applyAlignment="1">
      <alignment vertical="center" wrapText="1"/>
    </xf>
    <xf numFmtId="177" fontId="11" fillId="2" borderId="130" xfId="1" applyNumberFormat="1" applyFont="1" applyFill="1" applyBorder="1" applyAlignment="1">
      <alignment vertical="center" wrapText="1"/>
    </xf>
    <xf numFmtId="177" fontId="11" fillId="2" borderId="108" xfId="1" applyNumberFormat="1" applyFont="1" applyFill="1" applyBorder="1" applyAlignment="1">
      <alignment horizontal="center" vertical="center" wrapText="1"/>
    </xf>
    <xf numFmtId="0" fontId="11" fillId="2" borderId="153" xfId="1" applyFont="1" applyFill="1" applyBorder="1" applyAlignment="1">
      <alignment vertical="center" wrapText="1"/>
    </xf>
    <xf numFmtId="177" fontId="10" fillId="3" borderId="114" xfId="1" applyNumberFormat="1" applyFont="1" applyFill="1" applyBorder="1" applyAlignment="1">
      <alignment horizontal="right" vertical="center" wrapText="1"/>
    </xf>
    <xf numFmtId="0" fontId="10" fillId="4" borderId="118" xfId="1" applyFont="1" applyFill="1" applyBorder="1" applyAlignment="1">
      <alignment horizontal="justify" vertical="center" wrapText="1"/>
    </xf>
    <xf numFmtId="177" fontId="10" fillId="4" borderId="120" xfId="1" applyNumberFormat="1" applyFont="1" applyFill="1" applyBorder="1" applyAlignment="1">
      <alignment horizontal="right" vertical="center" wrapText="1"/>
    </xf>
    <xf numFmtId="0" fontId="10" fillId="4" borderId="191" xfId="1" applyFont="1" applyFill="1" applyBorder="1" applyAlignment="1">
      <alignment horizontal="center" vertical="center" wrapText="1"/>
    </xf>
    <xf numFmtId="0" fontId="10" fillId="4" borderId="192" xfId="1" applyFont="1" applyFill="1" applyBorder="1" applyAlignment="1">
      <alignment horizontal="justify" vertical="center" wrapText="1"/>
    </xf>
    <xf numFmtId="0" fontId="10" fillId="4" borderId="193" xfId="1" applyFont="1" applyFill="1" applyBorder="1" applyAlignment="1">
      <alignment horizontal="justify" vertical="center" wrapText="1"/>
    </xf>
    <xf numFmtId="176" fontId="10" fillId="4" borderId="194" xfId="1" applyNumberFormat="1" applyFont="1" applyFill="1" applyBorder="1" applyAlignment="1">
      <alignment horizontal="right" vertical="center" wrapText="1"/>
    </xf>
    <xf numFmtId="178" fontId="2" fillId="2" borderId="0" xfId="1" applyNumberFormat="1" applyFont="1" applyFill="1">
      <alignment vertical="center"/>
    </xf>
    <xf numFmtId="41" fontId="2" fillId="2" borderId="0" xfId="2" applyFont="1" applyFill="1">
      <alignment vertical="center"/>
    </xf>
    <xf numFmtId="0" fontId="25" fillId="3" borderId="34" xfId="1" applyFont="1" applyFill="1" applyBorder="1" applyAlignment="1">
      <alignment horizontal="center" vertical="center" wrapText="1"/>
    </xf>
    <xf numFmtId="0" fontId="21" fillId="2" borderId="166" xfId="1" applyFont="1" applyFill="1" applyBorder="1" applyAlignment="1">
      <alignment horizontal="center" vertical="center"/>
    </xf>
    <xf numFmtId="178" fontId="21" fillId="2" borderId="30" xfId="1" applyNumberFormat="1" applyFont="1" applyFill="1" applyBorder="1" applyAlignment="1">
      <alignment horizontal="right" vertical="center" wrapText="1"/>
    </xf>
    <xf numFmtId="41" fontId="21" fillId="2" borderId="30" xfId="2" applyFont="1" applyFill="1" applyBorder="1" applyAlignment="1">
      <alignment horizontal="right" vertical="center" wrapText="1"/>
    </xf>
    <xf numFmtId="41" fontId="21" fillId="0" borderId="30" xfId="2" applyFont="1" applyFill="1" applyBorder="1" applyAlignment="1">
      <alignment horizontal="right" vertical="center" wrapText="1"/>
    </xf>
    <xf numFmtId="0" fontId="21" fillId="2" borderId="9" xfId="1" applyFont="1" applyFill="1" applyBorder="1" applyAlignment="1">
      <alignment horizontal="center" vertical="center"/>
    </xf>
    <xf numFmtId="178" fontId="21" fillId="2" borderId="42" xfId="1" applyNumberFormat="1" applyFont="1" applyFill="1" applyBorder="1" applyAlignment="1">
      <alignment horizontal="right" vertical="center" wrapText="1"/>
    </xf>
    <xf numFmtId="41" fontId="21" fillId="2" borderId="42" xfId="2" applyFont="1" applyFill="1" applyBorder="1" applyAlignment="1">
      <alignment horizontal="right" vertical="center" wrapText="1"/>
    </xf>
    <xf numFmtId="0" fontId="21" fillId="3" borderId="166" xfId="1" applyFont="1" applyFill="1" applyBorder="1" applyAlignment="1">
      <alignment horizontal="center" vertical="center"/>
    </xf>
    <xf numFmtId="178" fontId="21" fillId="3" borderId="42" xfId="1" applyNumberFormat="1" applyFont="1" applyFill="1" applyBorder="1" applyAlignment="1">
      <alignment horizontal="right" vertical="center" wrapText="1"/>
    </xf>
    <xf numFmtId="41" fontId="21" fillId="3" borderId="42" xfId="2" applyFont="1" applyFill="1" applyBorder="1" applyAlignment="1">
      <alignment horizontal="right" vertical="center" wrapText="1"/>
    </xf>
    <xf numFmtId="41" fontId="21" fillId="3" borderId="30" xfId="2" applyFont="1" applyFill="1" applyBorder="1" applyAlignment="1">
      <alignment horizontal="right" vertical="center" wrapText="1"/>
    </xf>
    <xf numFmtId="0" fontId="21" fillId="3" borderId="9" xfId="1" applyFont="1" applyFill="1" applyBorder="1" applyAlignment="1">
      <alignment horizontal="center" vertical="center"/>
    </xf>
    <xf numFmtId="41" fontId="27" fillId="2" borderId="30" xfId="2" applyFont="1" applyFill="1" applyBorder="1" applyAlignment="1">
      <alignment horizontal="right" vertical="center" wrapText="1"/>
    </xf>
    <xf numFmtId="0" fontId="21" fillId="2" borderId="31" xfId="1" applyFont="1" applyFill="1" applyBorder="1" applyAlignment="1">
      <alignment vertical="center" wrapText="1"/>
    </xf>
    <xf numFmtId="0" fontId="21" fillId="2" borderId="68" xfId="1" applyFont="1" applyFill="1" applyBorder="1" applyAlignment="1">
      <alignment vertical="center" wrapText="1"/>
    </xf>
    <xf numFmtId="0" fontId="25" fillId="4" borderId="166" xfId="1" applyFont="1" applyFill="1" applyBorder="1" applyAlignment="1">
      <alignment horizontal="center" vertical="center"/>
    </xf>
    <xf numFmtId="178" fontId="25" fillId="4" borderId="42" xfId="1" applyNumberFormat="1" applyFont="1" applyFill="1" applyBorder="1" applyAlignment="1">
      <alignment horizontal="right" vertical="center" wrapText="1"/>
    </xf>
    <xf numFmtId="41" fontId="25" fillId="4" borderId="42" xfId="2" applyFont="1" applyFill="1" applyBorder="1" applyAlignment="1">
      <alignment horizontal="right" vertical="center" wrapText="1"/>
    </xf>
    <xf numFmtId="41" fontId="25" fillId="4" borderId="30" xfId="2" applyFont="1" applyFill="1" applyBorder="1" applyAlignment="1">
      <alignment horizontal="right" vertical="center" wrapText="1"/>
    </xf>
    <xf numFmtId="177" fontId="2" fillId="2" borderId="0" xfId="1" applyNumberFormat="1" applyFont="1" applyFill="1">
      <alignment vertical="center"/>
    </xf>
    <xf numFmtId="0" fontId="25" fillId="4" borderId="9" xfId="1" applyFont="1" applyFill="1" applyBorder="1" applyAlignment="1">
      <alignment horizontal="center" vertical="center"/>
    </xf>
    <xf numFmtId="0" fontId="23" fillId="2" borderId="0" xfId="1" applyFont="1" applyFill="1" applyAlignment="1">
      <alignment horizontal="justify" vertical="center"/>
    </xf>
    <xf numFmtId="0" fontId="21" fillId="2" borderId="34" xfId="1" applyFont="1" applyFill="1" applyBorder="1" applyAlignment="1">
      <alignment horizontal="center" vertical="center"/>
    </xf>
    <xf numFmtId="176" fontId="21" fillId="2" borderId="34" xfId="1" applyNumberFormat="1" applyFont="1" applyFill="1" applyBorder="1" applyAlignment="1">
      <alignment horizontal="right" vertical="center" wrapText="1"/>
    </xf>
    <xf numFmtId="176" fontId="29" fillId="2" borderId="34" xfId="2" applyNumberFormat="1" applyFont="1" applyFill="1" applyBorder="1" applyAlignment="1">
      <alignment horizontal="right" vertical="center" wrapText="1"/>
    </xf>
    <xf numFmtId="41" fontId="21" fillId="2" borderId="34" xfId="2" applyFont="1" applyFill="1" applyBorder="1" applyAlignment="1">
      <alignment horizontal="right" vertical="center" wrapText="1"/>
    </xf>
    <xf numFmtId="176" fontId="21" fillId="2" borderId="34" xfId="2" applyNumberFormat="1" applyFont="1" applyFill="1" applyBorder="1" applyAlignment="1">
      <alignment horizontal="right" vertical="center" wrapText="1"/>
    </xf>
    <xf numFmtId="178" fontId="21" fillId="2" borderId="34" xfId="1" applyNumberFormat="1" applyFont="1" applyFill="1" applyBorder="1" applyAlignment="1">
      <alignment horizontal="center" vertical="center"/>
    </xf>
    <xf numFmtId="0" fontId="21" fillId="3" borderId="34" xfId="1" applyFont="1" applyFill="1" applyBorder="1" applyAlignment="1">
      <alignment horizontal="center" vertical="center"/>
    </xf>
    <xf numFmtId="176" fontId="21" fillId="3" borderId="34" xfId="1" applyNumberFormat="1" applyFont="1" applyFill="1" applyBorder="1" applyAlignment="1">
      <alignment horizontal="right" vertical="center" wrapText="1"/>
    </xf>
    <xf numFmtId="176" fontId="29" fillId="3" borderId="34" xfId="2" applyNumberFormat="1" applyFont="1" applyFill="1" applyBorder="1" applyAlignment="1">
      <alignment horizontal="right" vertical="center" wrapText="1"/>
    </xf>
    <xf numFmtId="41" fontId="21" fillId="3" borderId="34" xfId="2" applyFont="1" applyFill="1" applyBorder="1" applyAlignment="1">
      <alignment horizontal="right" vertical="center" wrapText="1"/>
    </xf>
    <xf numFmtId="176" fontId="21" fillId="3" borderId="34" xfId="2" applyNumberFormat="1" applyFont="1" applyFill="1" applyBorder="1" applyAlignment="1">
      <alignment horizontal="right" vertical="center" wrapText="1"/>
    </xf>
    <xf numFmtId="178" fontId="21" fillId="3" borderId="34" xfId="1" applyNumberFormat="1" applyFont="1" applyFill="1" applyBorder="1" applyAlignment="1">
      <alignment horizontal="center" vertical="center"/>
    </xf>
    <xf numFmtId="0" fontId="29" fillId="2" borderId="34" xfId="1" applyFont="1" applyFill="1" applyBorder="1" applyAlignment="1">
      <alignment horizontal="center" vertical="center"/>
    </xf>
    <xf numFmtId="176" fontId="29" fillId="2" borderId="34" xfId="1" applyNumberFormat="1" applyFont="1" applyFill="1" applyBorder="1" applyAlignment="1">
      <alignment horizontal="right" vertical="center" wrapText="1"/>
    </xf>
    <xf numFmtId="178" fontId="29" fillId="2" borderId="34" xfId="1" applyNumberFormat="1" applyFont="1" applyFill="1" applyBorder="1" applyAlignment="1">
      <alignment horizontal="center" vertical="center"/>
    </xf>
    <xf numFmtId="0" fontId="25" fillId="6" borderId="34" xfId="1" applyFont="1" applyFill="1" applyBorder="1" applyAlignment="1">
      <alignment horizontal="center" vertical="center"/>
    </xf>
    <xf numFmtId="176" fontId="25" fillId="6" borderId="34" xfId="1" applyNumberFormat="1" applyFont="1" applyFill="1" applyBorder="1" applyAlignment="1">
      <alignment horizontal="right" vertical="center" wrapText="1"/>
    </xf>
    <xf numFmtId="176" fontId="28" fillId="6" borderId="34" xfId="2" applyNumberFormat="1" applyFont="1" applyFill="1" applyBorder="1" applyAlignment="1">
      <alignment horizontal="right" vertical="center" wrapText="1"/>
    </xf>
    <xf numFmtId="41" fontId="25" fillId="6" borderId="34" xfId="2" applyFont="1" applyFill="1" applyBorder="1" applyAlignment="1">
      <alignment horizontal="right" vertical="center" wrapText="1"/>
    </xf>
    <xf numFmtId="176" fontId="25" fillId="6" borderId="34" xfId="2" applyNumberFormat="1" applyFont="1" applyFill="1" applyBorder="1" applyAlignment="1">
      <alignment horizontal="right" vertical="center" wrapText="1"/>
    </xf>
    <xf numFmtId="178" fontId="25" fillId="6" borderId="34" xfId="1" applyNumberFormat="1" applyFont="1" applyFill="1" applyBorder="1" applyAlignment="1">
      <alignment horizontal="center" vertical="center"/>
    </xf>
    <xf numFmtId="0" fontId="25" fillId="3" borderId="35" xfId="1" applyFont="1" applyFill="1" applyBorder="1" applyAlignment="1">
      <alignment horizontal="center" vertical="center" wrapText="1"/>
    </xf>
    <xf numFmtId="177" fontId="21" fillId="2" borderId="30" xfId="1" applyNumberFormat="1" applyFont="1" applyFill="1" applyBorder="1" applyAlignment="1">
      <alignment horizontal="right" vertical="center" wrapText="1"/>
    </xf>
    <xf numFmtId="176" fontId="21" fillId="2" borderId="30" xfId="1" applyNumberFormat="1" applyFont="1" applyFill="1" applyBorder="1" applyAlignment="1">
      <alignment horizontal="right" vertical="center" wrapText="1"/>
    </xf>
    <xf numFmtId="177" fontId="21" fillId="2" borderId="42" xfId="1" applyNumberFormat="1" applyFont="1" applyFill="1" applyBorder="1" applyAlignment="1">
      <alignment horizontal="right" vertical="center" wrapText="1"/>
    </xf>
    <xf numFmtId="176" fontId="21" fillId="2" borderId="42" xfId="1" applyNumberFormat="1" applyFont="1" applyFill="1" applyBorder="1" applyAlignment="1">
      <alignment horizontal="right" vertical="center" wrapText="1"/>
    </xf>
    <xf numFmtId="0" fontId="25" fillId="2" borderId="166" xfId="1" applyFont="1" applyFill="1" applyBorder="1" applyAlignment="1">
      <alignment horizontal="center" vertical="center"/>
    </xf>
    <xf numFmtId="177" fontId="25" fillId="2" borderId="42" xfId="1" applyNumberFormat="1" applyFont="1" applyFill="1" applyBorder="1" applyAlignment="1">
      <alignment horizontal="right" vertical="center" wrapText="1"/>
    </xf>
    <xf numFmtId="176" fontId="25" fillId="2" borderId="42" xfId="1" applyNumberFormat="1" applyFont="1" applyFill="1" applyBorder="1" applyAlignment="1">
      <alignment horizontal="right" vertical="center" wrapText="1"/>
    </xf>
    <xf numFmtId="176" fontId="25" fillId="2" borderId="30" xfId="1" applyNumberFormat="1" applyFont="1" applyFill="1" applyBorder="1" applyAlignment="1">
      <alignment horizontal="right" vertical="center" wrapText="1"/>
    </xf>
    <xf numFmtId="0" fontId="30" fillId="2" borderId="0" xfId="1" applyFont="1" applyFill="1">
      <alignment vertical="center"/>
    </xf>
    <xf numFmtId="177" fontId="30" fillId="2" borderId="0" xfId="1" applyNumberFormat="1" applyFont="1" applyFill="1">
      <alignment vertical="center"/>
    </xf>
    <xf numFmtId="0" fontId="25" fillId="2" borderId="9" xfId="1" applyFont="1" applyFill="1" applyBorder="1" applyAlignment="1">
      <alignment horizontal="center" vertical="center"/>
    </xf>
    <xf numFmtId="38" fontId="31" fillId="2" borderId="30" xfId="1" applyNumberFormat="1" applyFont="1" applyFill="1" applyBorder="1" applyAlignment="1">
      <alignment horizontal="right" vertical="center" wrapText="1"/>
    </xf>
    <xf numFmtId="38" fontId="31" fillId="2" borderId="42" xfId="1" applyNumberFormat="1" applyFont="1" applyFill="1" applyBorder="1" applyAlignment="1">
      <alignment horizontal="right" vertical="center" wrapText="1"/>
    </xf>
    <xf numFmtId="0" fontId="21" fillId="2" borderId="42" xfId="1" applyFont="1" applyFill="1" applyBorder="1" applyAlignment="1">
      <alignment horizontal="center" vertical="center"/>
    </xf>
    <xf numFmtId="0" fontId="21" fillId="2" borderId="30" xfId="1" applyFont="1" applyFill="1" applyBorder="1" applyAlignment="1">
      <alignment horizontal="center" vertical="center"/>
    </xf>
    <xf numFmtId="0" fontId="21" fillId="2" borderId="42" xfId="1" applyFont="1" applyFill="1" applyBorder="1" applyAlignment="1">
      <alignment horizontal="right" vertical="center" wrapText="1"/>
    </xf>
    <xf numFmtId="38" fontId="25" fillId="2" borderId="42" xfId="1" applyNumberFormat="1" applyFont="1" applyFill="1" applyBorder="1" applyAlignment="1">
      <alignment horizontal="right" vertical="center" wrapText="1"/>
    </xf>
    <xf numFmtId="0" fontId="11" fillId="2" borderId="0" xfId="1" applyFont="1" applyFill="1" applyAlignment="1">
      <alignment horizontal="left" vertical="center"/>
    </xf>
    <xf numFmtId="0" fontId="15" fillId="2" borderId="0" xfId="1" applyFont="1" applyFill="1" applyAlignment="1">
      <alignment horizontal="left" vertical="center"/>
    </xf>
    <xf numFmtId="0" fontId="11" fillId="2" borderId="11" xfId="1" applyFont="1" applyFill="1" applyBorder="1" applyAlignment="1">
      <alignment vertical="center" wrapText="1"/>
    </xf>
    <xf numFmtId="0" fontId="11" fillId="2" borderId="63" xfId="1" applyFont="1" applyFill="1" applyBorder="1" applyAlignment="1">
      <alignment vertical="center" wrapText="1"/>
    </xf>
    <xf numFmtId="176" fontId="11" fillId="2" borderId="50" xfId="1" applyNumberFormat="1" applyFont="1" applyFill="1" applyBorder="1" applyAlignment="1">
      <alignment horizontal="right" vertical="center" wrapText="1"/>
    </xf>
    <xf numFmtId="0" fontId="11" fillId="2" borderId="78" xfId="1" applyFont="1" applyFill="1" applyBorder="1" applyAlignment="1">
      <alignment horizontal="left" vertical="center" wrapText="1"/>
    </xf>
    <xf numFmtId="0" fontId="11" fillId="2" borderId="67" xfId="1" applyFont="1" applyFill="1" applyBorder="1" applyAlignment="1">
      <alignment horizontal="left" vertical="center" wrapText="1"/>
    </xf>
    <xf numFmtId="0" fontId="11" fillId="2" borderId="10" xfId="1" applyFont="1" applyFill="1" applyBorder="1" applyAlignment="1">
      <alignment horizontal="left" vertical="center" wrapText="1"/>
    </xf>
    <xf numFmtId="0" fontId="11" fillId="2" borderId="68" xfId="1" applyFont="1" applyFill="1" applyBorder="1" applyAlignment="1">
      <alignment horizontal="left" vertical="center" wrapText="1"/>
    </xf>
    <xf numFmtId="41" fontId="11" fillId="2" borderId="10" xfId="2" applyFont="1" applyFill="1" applyBorder="1" applyAlignment="1">
      <alignment horizontal="center" vertical="center" wrapText="1"/>
    </xf>
    <xf numFmtId="41" fontId="11" fillId="2" borderId="68" xfId="2" applyFont="1" applyFill="1" applyBorder="1" applyAlignment="1">
      <alignment horizontal="center" vertical="center" wrapText="1"/>
    </xf>
    <xf numFmtId="176" fontId="11" fillId="2" borderId="12" xfId="1" applyNumberFormat="1" applyFont="1" applyFill="1" applyBorder="1" applyAlignment="1">
      <alignment horizontal="right" vertical="center" wrapText="1"/>
    </xf>
    <xf numFmtId="176" fontId="11" fillId="2" borderId="104" xfId="1" applyNumberFormat="1" applyFont="1" applyFill="1" applyBorder="1" applyAlignment="1">
      <alignment horizontal="right" vertical="center" wrapText="1"/>
    </xf>
    <xf numFmtId="0" fontId="11" fillId="2" borderId="72" xfId="1" applyFont="1" applyFill="1" applyBorder="1" applyAlignment="1">
      <alignment horizontal="left" vertical="center" wrapText="1"/>
    </xf>
    <xf numFmtId="0" fontId="11" fillId="2" borderId="62" xfId="1" applyFont="1" applyFill="1" applyBorder="1" applyAlignment="1">
      <alignment horizontal="left" vertical="center" wrapText="1"/>
    </xf>
    <xf numFmtId="0" fontId="11" fillId="2" borderId="73" xfId="1" applyFont="1" applyFill="1" applyBorder="1" applyAlignment="1">
      <alignment horizontal="left" vertical="center" wrapText="1"/>
    </xf>
    <xf numFmtId="0" fontId="11" fillId="2" borderId="31" xfId="1" applyFont="1" applyFill="1" applyBorder="1" applyAlignment="1">
      <alignment horizontal="left" vertical="center" wrapText="1"/>
    </xf>
    <xf numFmtId="0" fontId="10" fillId="2" borderId="95" xfId="1" applyFont="1" applyFill="1" applyBorder="1" applyAlignment="1">
      <alignment horizontal="center" vertical="center" wrapText="1"/>
    </xf>
    <xf numFmtId="0" fontId="10" fillId="2" borderId="102" xfId="1" applyFont="1" applyFill="1" applyBorder="1" applyAlignment="1">
      <alignment horizontal="center" vertical="center" wrapText="1"/>
    </xf>
    <xf numFmtId="0" fontId="11" fillId="2" borderId="96" xfId="1" applyFont="1" applyFill="1" applyBorder="1" applyAlignment="1">
      <alignment horizontal="left" vertical="center" wrapText="1"/>
    </xf>
    <xf numFmtId="0" fontId="11" fillId="2" borderId="70" xfId="1" applyFont="1" applyFill="1" applyBorder="1" applyAlignment="1">
      <alignment horizontal="left" vertical="center" wrapText="1"/>
    </xf>
    <xf numFmtId="0" fontId="11" fillId="2" borderId="40" xfId="1" applyFont="1" applyFill="1" applyBorder="1" applyAlignment="1">
      <alignment vertical="center" wrapText="1"/>
    </xf>
    <xf numFmtId="0" fontId="11" fillId="2" borderId="37" xfId="1" applyFont="1" applyFill="1" applyBorder="1" applyAlignment="1">
      <alignment vertical="center" wrapText="1"/>
    </xf>
    <xf numFmtId="0" fontId="11" fillId="2" borderId="10" xfId="1" applyFont="1" applyFill="1" applyBorder="1" applyAlignment="1">
      <alignment vertical="center" wrapText="1"/>
    </xf>
    <xf numFmtId="0" fontId="11" fillId="2" borderId="30" xfId="1" applyFont="1" applyFill="1" applyBorder="1" applyAlignment="1">
      <alignment vertical="center" wrapText="1"/>
    </xf>
    <xf numFmtId="41" fontId="11" fillId="2" borderId="31" xfId="2" applyFont="1" applyFill="1" applyBorder="1" applyAlignment="1">
      <alignment horizontal="center" vertical="center" wrapText="1"/>
    </xf>
    <xf numFmtId="41" fontId="11" fillId="2" borderId="65" xfId="2" applyFont="1" applyFill="1" applyBorder="1" applyAlignment="1">
      <alignment horizontal="center" vertical="center" wrapText="1"/>
    </xf>
    <xf numFmtId="41" fontId="11" fillId="2" borderId="69" xfId="2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left" vertical="center" wrapText="1"/>
    </xf>
    <xf numFmtId="41" fontId="11" fillId="2" borderId="30" xfId="2" applyFont="1" applyFill="1" applyBorder="1" applyAlignment="1">
      <alignment horizontal="center" vertical="center" wrapText="1"/>
    </xf>
    <xf numFmtId="41" fontId="11" fillId="2" borderId="79" xfId="2" applyFont="1" applyFill="1" applyBorder="1" applyAlignment="1">
      <alignment horizontal="center" vertical="center" wrapText="1"/>
    </xf>
    <xf numFmtId="41" fontId="11" fillId="2" borderId="64" xfId="2" applyFont="1" applyFill="1" applyBorder="1" applyAlignment="1">
      <alignment horizontal="center" vertical="center" wrapText="1"/>
    </xf>
    <xf numFmtId="0" fontId="10" fillId="2" borderId="61" xfId="1" applyFont="1" applyFill="1" applyBorder="1" applyAlignment="1">
      <alignment horizontal="center" vertical="center" wrapText="1"/>
    </xf>
    <xf numFmtId="0" fontId="10" fillId="2" borderId="66" xfId="1" applyFont="1" applyFill="1" applyBorder="1" applyAlignment="1">
      <alignment horizontal="center" vertical="center" wrapText="1"/>
    </xf>
    <xf numFmtId="0" fontId="11" fillId="2" borderId="78" xfId="1" applyFont="1" applyFill="1" applyBorder="1" applyAlignment="1">
      <alignment horizontal="center" vertical="center" wrapText="1"/>
    </xf>
    <xf numFmtId="0" fontId="11" fillId="2" borderId="70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30" xfId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left" vertical="center" wrapText="1"/>
    </xf>
    <xf numFmtId="0" fontId="11" fillId="2" borderId="34" xfId="1" applyFont="1" applyFill="1" applyBorder="1" applyAlignment="1">
      <alignment horizontal="left" vertical="center" wrapText="1"/>
    </xf>
    <xf numFmtId="41" fontId="11" fillId="2" borderId="26" xfId="2" applyFont="1" applyFill="1" applyBorder="1" applyAlignment="1">
      <alignment horizontal="left" vertical="center" wrapText="1"/>
    </xf>
    <xf numFmtId="41" fontId="11" fillId="2" borderId="25" xfId="2" applyFont="1" applyFill="1" applyBorder="1" applyAlignment="1">
      <alignment horizontal="left" vertical="center" wrapText="1"/>
    </xf>
    <xf numFmtId="41" fontId="12" fillId="2" borderId="27" xfId="2" applyFont="1" applyFill="1" applyBorder="1" applyAlignment="1">
      <alignment horizontal="right" vertical="center"/>
    </xf>
    <xf numFmtId="41" fontId="12" fillId="2" borderId="25" xfId="2" applyFont="1" applyFill="1" applyBorder="1" applyAlignment="1">
      <alignment horizontal="right" vertical="center"/>
    </xf>
    <xf numFmtId="41" fontId="11" fillId="2" borderId="28" xfId="2" applyFont="1" applyFill="1" applyBorder="1" applyAlignment="1">
      <alignment horizontal="left" vertical="center" wrapText="1"/>
    </xf>
    <xf numFmtId="41" fontId="11" fillId="0" borderId="11" xfId="2" applyFont="1" applyFill="1" applyBorder="1" applyAlignment="1">
      <alignment vertical="center" wrapText="1"/>
    </xf>
    <xf numFmtId="41" fontId="11" fillId="0" borderId="32" xfId="2" applyFont="1" applyFill="1" applyBorder="1" applyAlignment="1">
      <alignment vertical="center" wrapText="1"/>
    </xf>
    <xf numFmtId="41" fontId="12" fillId="0" borderId="35" xfId="2" applyFont="1" applyFill="1" applyBorder="1" applyAlignment="1">
      <alignment horizontal="right" vertical="center"/>
    </xf>
    <xf numFmtId="41" fontId="12" fillId="0" borderId="25" xfId="2" applyFont="1" applyFill="1" applyBorder="1" applyAlignment="1">
      <alignment horizontal="right" vertical="center"/>
    </xf>
    <xf numFmtId="41" fontId="11" fillId="0" borderId="23" xfId="2" applyFont="1" applyFill="1" applyBorder="1" applyAlignment="1">
      <alignment horizontal="right" vertical="center" wrapText="1"/>
    </xf>
    <xf numFmtId="41" fontId="11" fillId="0" borderId="32" xfId="2" applyFont="1" applyFill="1" applyBorder="1" applyAlignment="1">
      <alignment horizontal="right" vertical="center" wrapText="1"/>
    </xf>
    <xf numFmtId="0" fontId="11" fillId="2" borderId="33" xfId="1" applyFont="1" applyFill="1" applyBorder="1" applyAlignment="1">
      <alignment horizontal="left" vertical="center" wrapText="1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6" xfId="1" applyFont="1" applyFill="1" applyBorder="1" applyAlignment="1">
      <alignment horizontal="center" vertical="center" wrapText="1"/>
    </xf>
    <xf numFmtId="0" fontId="10" fillId="2" borderId="12" xfId="1" applyFont="1" applyFill="1" applyBorder="1" applyAlignment="1">
      <alignment horizontal="center" vertical="center" wrapText="1"/>
    </xf>
    <xf numFmtId="0" fontId="10" fillId="2" borderId="20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1" fillId="2" borderId="21" xfId="1" applyFont="1" applyFill="1" applyBorder="1" applyAlignment="1">
      <alignment horizontal="left" vertical="center" wrapText="1"/>
    </xf>
    <xf numFmtId="0" fontId="11" fillId="2" borderId="29" xfId="1" applyFont="1" applyFill="1" applyBorder="1" applyAlignment="1">
      <alignment horizontal="left" vertical="center" wrapText="1"/>
    </xf>
    <xf numFmtId="0" fontId="11" fillId="2" borderId="37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vertical="center" wrapText="1"/>
    </xf>
    <xf numFmtId="41" fontId="11" fillId="0" borderId="22" xfId="2" applyFont="1" applyFill="1" applyBorder="1" applyAlignment="1">
      <alignment vertical="center" wrapText="1"/>
    </xf>
    <xf numFmtId="41" fontId="11" fillId="0" borderId="30" xfId="2" applyFont="1" applyFill="1" applyBorder="1" applyAlignment="1">
      <alignment vertical="center" wrapText="1"/>
    </xf>
    <xf numFmtId="41" fontId="12" fillId="0" borderId="22" xfId="2" applyFont="1" applyFill="1" applyBorder="1" applyAlignment="1">
      <alignment horizontal="right" vertical="center"/>
    </xf>
    <xf numFmtId="41" fontId="12" fillId="0" borderId="31" xfId="2" applyFont="1" applyFill="1" applyBorder="1" applyAlignment="1">
      <alignment horizontal="right" vertical="center"/>
    </xf>
    <xf numFmtId="0" fontId="11" fillId="2" borderId="24" xfId="1" applyFont="1" applyFill="1" applyBorder="1" applyAlignment="1">
      <alignment horizontal="left" vertical="center" wrapText="1"/>
    </xf>
    <xf numFmtId="0" fontId="9" fillId="2" borderId="1" xfId="1" applyFont="1" applyFill="1" applyBorder="1" applyAlignment="1">
      <alignment horizontal="right" vertical="center"/>
    </xf>
    <xf numFmtId="0" fontId="9" fillId="2" borderId="0" xfId="1" applyFont="1" applyFill="1" applyBorder="1" applyAlignment="1">
      <alignment horizontal="right" vertical="center"/>
    </xf>
    <xf numFmtId="0" fontId="10" fillId="2" borderId="13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>
      <alignment horizontal="center" vertical="center" wrapText="1"/>
    </xf>
    <xf numFmtId="0" fontId="10" fillId="2" borderId="17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25" fillId="6" borderId="34" xfId="1" applyFont="1" applyFill="1" applyBorder="1" applyAlignment="1">
      <alignment horizontal="center" vertical="center" wrapText="1"/>
    </xf>
    <xf numFmtId="0" fontId="21" fillId="2" borderId="35" xfId="1" applyFont="1" applyFill="1" applyBorder="1" applyAlignment="1">
      <alignment horizontal="center" vertical="center" wrapText="1"/>
    </xf>
    <xf numFmtId="0" fontId="21" fillId="2" borderId="26" xfId="1" applyFont="1" applyFill="1" applyBorder="1" applyAlignment="1">
      <alignment horizontal="center" vertical="center" wrapText="1"/>
    </xf>
    <xf numFmtId="0" fontId="21" fillId="2" borderId="25" xfId="1" applyFont="1" applyFill="1" applyBorder="1" applyAlignment="1">
      <alignment horizontal="center" vertical="center" wrapText="1"/>
    </xf>
    <xf numFmtId="0" fontId="21" fillId="3" borderId="34" xfId="1" applyFont="1" applyFill="1" applyBorder="1" applyAlignment="1">
      <alignment horizontal="center" vertical="center" wrapText="1"/>
    </xf>
    <xf numFmtId="0" fontId="29" fillId="2" borderId="35" xfId="1" applyFont="1" applyFill="1" applyBorder="1" applyAlignment="1">
      <alignment horizontal="center" vertical="center" wrapText="1"/>
    </xf>
    <xf numFmtId="0" fontId="29" fillId="2" borderId="26" xfId="1" applyFont="1" applyFill="1" applyBorder="1" applyAlignment="1">
      <alignment horizontal="center" vertical="center" wrapText="1"/>
    </xf>
    <xf numFmtId="0" fontId="29" fillId="2" borderId="25" xfId="1" applyFont="1" applyFill="1" applyBorder="1" applyAlignment="1">
      <alignment horizontal="center" vertical="center" wrapText="1"/>
    </xf>
    <xf numFmtId="0" fontId="29" fillId="2" borderId="34" xfId="1" applyFont="1" applyFill="1" applyBorder="1" applyAlignment="1">
      <alignment horizontal="center" vertical="center" wrapText="1"/>
    </xf>
    <xf numFmtId="0" fontId="21" fillId="2" borderId="34" xfId="1" applyFont="1" applyFill="1" applyBorder="1" applyAlignment="1">
      <alignment horizontal="center" vertical="center" wrapText="1"/>
    </xf>
    <xf numFmtId="0" fontId="21" fillId="0" borderId="34" xfId="1" applyFont="1" applyFill="1" applyBorder="1" applyAlignment="1">
      <alignment horizontal="center" vertical="center" wrapText="1"/>
    </xf>
    <xf numFmtId="0" fontId="21" fillId="0" borderId="35" xfId="1" applyFont="1" applyFill="1" applyBorder="1" applyAlignment="1">
      <alignment horizontal="center" vertical="center" wrapText="1"/>
    </xf>
    <xf numFmtId="0" fontId="21" fillId="0" borderId="26" xfId="1" applyFont="1" applyFill="1" applyBorder="1" applyAlignment="1">
      <alignment horizontal="center" vertical="center" wrapText="1"/>
    </xf>
    <xf numFmtId="0" fontId="21" fillId="0" borderId="25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right" vertical="center"/>
    </xf>
    <xf numFmtId="0" fontId="24" fillId="2" borderId="135" xfId="1" applyFont="1" applyFill="1" applyBorder="1" applyAlignment="1">
      <alignment horizontal="center" vertical="center"/>
    </xf>
    <xf numFmtId="0" fontId="25" fillId="3" borderId="34" xfId="1" applyFont="1" applyFill="1" applyBorder="1" applyAlignment="1">
      <alignment horizontal="center" vertical="center" wrapText="1"/>
    </xf>
    <xf numFmtId="0" fontId="28" fillId="3" borderId="34" xfId="1" applyFont="1" applyFill="1" applyBorder="1" applyAlignment="1">
      <alignment horizontal="center" vertical="center" wrapText="1"/>
    </xf>
    <xf numFmtId="41" fontId="25" fillId="3" borderId="34" xfId="2" applyFont="1" applyFill="1" applyBorder="1" applyAlignment="1">
      <alignment horizontal="center" vertical="center" wrapText="1"/>
    </xf>
    <xf numFmtId="0" fontId="21" fillId="2" borderId="73" xfId="1" applyFont="1" applyFill="1" applyBorder="1" applyAlignment="1">
      <alignment horizontal="center" vertical="center" wrapText="1"/>
    </xf>
    <xf numFmtId="0" fontId="21" fillId="2" borderId="31" xfId="1" applyFont="1" applyFill="1" applyBorder="1" applyAlignment="1">
      <alignment horizontal="center" vertical="center" wrapText="1"/>
    </xf>
    <xf numFmtId="0" fontId="21" fillId="2" borderId="68" xfId="1" applyFont="1" applyFill="1" applyBorder="1" applyAlignment="1">
      <alignment horizontal="center" vertical="center" wrapText="1"/>
    </xf>
    <xf numFmtId="0" fontId="21" fillId="2" borderId="85" xfId="1" applyFont="1" applyFill="1" applyBorder="1" applyAlignment="1">
      <alignment horizontal="center" vertical="center" wrapText="1"/>
    </xf>
    <xf numFmtId="0" fontId="21" fillId="2" borderId="63" xfId="1" applyFont="1" applyFill="1" applyBorder="1" applyAlignment="1">
      <alignment horizontal="center" vertical="center" wrapText="1"/>
    </xf>
    <xf numFmtId="0" fontId="21" fillId="3" borderId="85" xfId="1" applyFont="1" applyFill="1" applyBorder="1" applyAlignment="1">
      <alignment horizontal="center" vertical="center" wrapText="1"/>
    </xf>
    <xf numFmtId="0" fontId="21" fillId="3" borderId="195" xfId="1" applyFont="1" applyFill="1" applyBorder="1" applyAlignment="1">
      <alignment horizontal="center" vertical="center" wrapText="1"/>
    </xf>
    <xf numFmtId="0" fontId="21" fillId="3" borderId="32" xfId="1" applyFont="1" applyFill="1" applyBorder="1" applyAlignment="1">
      <alignment horizontal="center" vertical="center" wrapText="1"/>
    </xf>
    <xf numFmtId="0" fontId="21" fillId="3" borderId="196" xfId="1" applyFont="1" applyFill="1" applyBorder="1" applyAlignment="1">
      <alignment horizontal="center" vertical="center" wrapText="1"/>
    </xf>
    <xf numFmtId="0" fontId="25" fillId="4" borderId="44" xfId="1" applyFont="1" applyFill="1" applyBorder="1" applyAlignment="1">
      <alignment horizontal="center" vertical="center" wrapText="1"/>
    </xf>
    <xf numFmtId="0" fontId="25" fillId="4" borderId="199" xfId="1" applyFont="1" applyFill="1" applyBorder="1" applyAlignment="1">
      <alignment horizontal="center" vertical="center" wrapText="1"/>
    </xf>
    <xf numFmtId="0" fontId="25" fillId="4" borderId="200" xfId="1" applyFont="1" applyFill="1" applyBorder="1" applyAlignment="1">
      <alignment horizontal="center" vertical="center" wrapText="1"/>
    </xf>
    <xf numFmtId="0" fontId="25" fillId="4" borderId="201" xfId="1" applyFont="1" applyFill="1" applyBorder="1" applyAlignment="1">
      <alignment horizontal="center" vertical="center" wrapText="1"/>
    </xf>
    <xf numFmtId="0" fontId="25" fillId="4" borderId="0" xfId="1" applyFont="1" applyFill="1" applyBorder="1" applyAlignment="1">
      <alignment horizontal="center" vertical="center" wrapText="1"/>
    </xf>
    <xf numFmtId="0" fontId="25" fillId="4" borderId="195" xfId="1" applyFont="1" applyFill="1" applyBorder="1" applyAlignment="1">
      <alignment horizontal="center" vertical="center" wrapText="1"/>
    </xf>
    <xf numFmtId="0" fontId="25" fillId="4" borderId="202" xfId="1" applyFont="1" applyFill="1" applyBorder="1" applyAlignment="1">
      <alignment horizontal="center" vertical="center" wrapText="1"/>
    </xf>
    <xf numFmtId="0" fontId="25" fillId="4" borderId="135" xfId="1" applyFont="1" applyFill="1" applyBorder="1" applyAlignment="1">
      <alignment horizontal="center" vertical="center" wrapText="1"/>
    </xf>
    <xf numFmtId="0" fontId="25" fillId="4" borderId="196" xfId="1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left" vertical="center"/>
    </xf>
    <xf numFmtId="0" fontId="21" fillId="2" borderId="11" xfId="1" applyFont="1" applyFill="1" applyBorder="1" applyAlignment="1">
      <alignment horizontal="center" vertical="center" wrapText="1"/>
    </xf>
    <xf numFmtId="0" fontId="21" fillId="3" borderId="35" xfId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 wrapText="1"/>
    </xf>
    <xf numFmtId="0" fontId="21" fillId="2" borderId="197" xfId="1" applyFont="1" applyFill="1" applyBorder="1" applyAlignment="1">
      <alignment horizontal="center" vertical="center" wrapText="1"/>
    </xf>
    <xf numFmtId="0" fontId="21" fillId="2" borderId="168" xfId="1" applyFont="1" applyFill="1" applyBorder="1" applyAlignment="1">
      <alignment horizontal="center" vertical="center" wrapText="1"/>
    </xf>
    <xf numFmtId="0" fontId="21" fillId="2" borderId="198" xfId="1" applyFont="1" applyFill="1" applyBorder="1" applyAlignment="1">
      <alignment horizontal="center" vertical="center" wrapText="1"/>
    </xf>
    <xf numFmtId="0" fontId="26" fillId="2" borderId="35" xfId="1" applyFont="1" applyFill="1" applyBorder="1" applyAlignment="1">
      <alignment horizontal="center" vertical="center" wrapText="1"/>
    </xf>
    <xf numFmtId="0" fontId="26" fillId="2" borderId="26" xfId="1" applyFont="1" applyFill="1" applyBorder="1" applyAlignment="1">
      <alignment horizontal="center" vertical="center" wrapText="1"/>
    </xf>
    <xf numFmtId="0" fontId="26" fillId="2" borderId="25" xfId="1" applyFont="1" applyFill="1" applyBorder="1" applyAlignment="1">
      <alignment horizontal="center" vertical="center" wrapText="1"/>
    </xf>
    <xf numFmtId="178" fontId="25" fillId="3" borderId="34" xfId="1" applyNumberFormat="1" applyFont="1" applyFill="1" applyBorder="1" applyAlignment="1">
      <alignment horizontal="center" vertical="center" wrapText="1"/>
    </xf>
    <xf numFmtId="0" fontId="2" fillId="5" borderId="0" xfId="1" applyFont="1" applyFill="1" applyAlignment="1">
      <alignment horizontal="center" vertical="center"/>
    </xf>
    <xf numFmtId="0" fontId="19" fillId="2" borderId="0" xfId="1" applyFont="1" applyFill="1" applyAlignment="1">
      <alignment horizontal="center" vertical="center"/>
    </xf>
    <xf numFmtId="0" fontId="20" fillId="2" borderId="0" xfId="1" applyFont="1" applyFill="1" applyAlignment="1">
      <alignment horizontal="center" vertical="center"/>
    </xf>
    <xf numFmtId="0" fontId="21" fillId="2" borderId="0" xfId="1" applyFont="1" applyFill="1" applyAlignment="1">
      <alignment horizontal="center" vertical="center"/>
    </xf>
    <xf numFmtId="177" fontId="11" fillId="2" borderId="11" xfId="1" applyNumberFormat="1" applyFont="1" applyFill="1" applyBorder="1" applyAlignment="1">
      <alignment horizontal="center" vertical="center" wrapText="1"/>
    </xf>
    <xf numFmtId="177" fontId="11" fillId="2" borderId="32" xfId="1" applyNumberFormat="1" applyFont="1" applyFill="1" applyBorder="1" applyAlignment="1">
      <alignment horizontal="center" vertical="center" wrapText="1"/>
    </xf>
    <xf numFmtId="41" fontId="11" fillId="2" borderId="124" xfId="2" applyFont="1" applyFill="1" applyBorder="1" applyAlignment="1">
      <alignment horizontal="center" vertical="center" wrapText="1"/>
    </xf>
    <xf numFmtId="41" fontId="11" fillId="2" borderId="125" xfId="2" applyFont="1" applyFill="1" applyBorder="1" applyAlignment="1">
      <alignment horizontal="center" vertical="center" wrapText="1"/>
    </xf>
    <xf numFmtId="176" fontId="11" fillId="2" borderId="108" xfId="1" applyNumberFormat="1" applyFont="1" applyFill="1" applyBorder="1" applyAlignment="1">
      <alignment horizontal="right" vertical="center" wrapText="1"/>
    </xf>
    <xf numFmtId="176" fontId="11" fillId="2" borderId="131" xfId="1" applyNumberFormat="1" applyFont="1" applyFill="1" applyBorder="1" applyAlignment="1">
      <alignment horizontal="right" vertical="center" wrapText="1"/>
    </xf>
    <xf numFmtId="0" fontId="11" fillId="2" borderId="123" xfId="1" applyFont="1" applyFill="1" applyBorder="1" applyAlignment="1">
      <alignment horizontal="left" vertical="center" wrapText="1"/>
    </xf>
    <xf numFmtId="0" fontId="11" fillId="2" borderId="124" xfId="1" applyFont="1" applyFill="1" applyBorder="1" applyAlignment="1">
      <alignment horizontal="left" vertical="center" wrapText="1"/>
    </xf>
    <xf numFmtId="41" fontId="11" fillId="0" borderId="85" xfId="2" applyFont="1" applyFill="1" applyBorder="1" applyAlignment="1">
      <alignment horizontal="right" vertical="center" wrapText="1"/>
    </xf>
    <xf numFmtId="0" fontId="25" fillId="2" borderId="201" xfId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wrapText="1"/>
    </xf>
    <xf numFmtId="0" fontId="25" fillId="2" borderId="195" xfId="1" applyFont="1" applyFill="1" applyBorder="1" applyAlignment="1">
      <alignment horizontal="center" vertical="center" wrapText="1"/>
    </xf>
    <xf numFmtId="0" fontId="25" fillId="2" borderId="202" xfId="1" applyFont="1" applyFill="1" applyBorder="1" applyAlignment="1">
      <alignment horizontal="center" vertical="center" wrapText="1"/>
    </xf>
    <xf numFmtId="0" fontId="25" fillId="2" borderId="135" xfId="1" applyFont="1" applyFill="1" applyBorder="1" applyAlignment="1">
      <alignment horizontal="center" vertical="center" wrapText="1"/>
    </xf>
    <xf numFmtId="0" fontId="25" fillId="2" borderId="196" xfId="1" applyFont="1" applyFill="1" applyBorder="1" applyAlignment="1">
      <alignment horizontal="center" vertical="center" wrapText="1"/>
    </xf>
    <xf numFmtId="0" fontId="21" fillId="2" borderId="10" xfId="1" applyFont="1" applyFill="1" applyBorder="1" applyAlignment="1">
      <alignment horizontal="center" vertical="center" wrapText="1"/>
    </xf>
    <xf numFmtId="0" fontId="21" fillId="2" borderId="30" xfId="1" applyFont="1" applyFill="1" applyBorder="1" applyAlignment="1">
      <alignment horizontal="center" vertical="center" wrapText="1"/>
    </xf>
    <xf numFmtId="0" fontId="21" fillId="2" borderId="42" xfId="1" applyFont="1" applyFill="1" applyBorder="1" applyAlignment="1">
      <alignment horizontal="center" vertical="center" wrapText="1"/>
    </xf>
    <xf numFmtId="41" fontId="11" fillId="2" borderId="10" xfId="2" applyFont="1" applyFill="1" applyBorder="1" applyAlignment="1">
      <alignment horizontal="right" vertical="center" wrapText="1"/>
    </xf>
    <xf numFmtId="41" fontId="11" fillId="2" borderId="68" xfId="2" applyFont="1" applyFill="1" applyBorder="1" applyAlignment="1">
      <alignment horizontal="right" vertical="center" wrapText="1"/>
    </xf>
    <xf numFmtId="41" fontId="11" fillId="2" borderId="12" xfId="2" applyFont="1" applyFill="1" applyBorder="1" applyAlignment="1">
      <alignment horizontal="right" vertical="center" wrapText="1"/>
    </xf>
    <xf numFmtId="41" fontId="11" fillId="2" borderId="104" xfId="2" applyFont="1" applyFill="1" applyBorder="1" applyAlignment="1">
      <alignment horizontal="right" vertical="center" wrapText="1"/>
    </xf>
    <xf numFmtId="0" fontId="10" fillId="2" borderId="137" xfId="1" applyFont="1" applyFill="1" applyBorder="1" applyAlignment="1">
      <alignment horizontal="center" vertical="center" wrapText="1"/>
    </xf>
    <xf numFmtId="0" fontId="10" fillId="2" borderId="138" xfId="1" applyFont="1" applyFill="1" applyBorder="1" applyAlignment="1">
      <alignment horizontal="center" vertical="center" wrapText="1"/>
    </xf>
    <xf numFmtId="0" fontId="11" fillId="2" borderId="150" xfId="1" applyFont="1" applyFill="1" applyBorder="1" applyAlignment="1">
      <alignment vertical="center" wrapText="1"/>
    </xf>
    <xf numFmtId="0" fontId="11" fillId="2" borderId="166" xfId="1" applyFont="1" applyFill="1" applyBorder="1" applyAlignment="1">
      <alignment vertical="center" wrapText="1"/>
    </xf>
    <xf numFmtId="41" fontId="11" fillId="2" borderId="28" xfId="2" applyFont="1" applyFill="1" applyBorder="1" applyAlignment="1">
      <alignment horizontal="right" vertical="center" wrapText="1"/>
    </xf>
    <xf numFmtId="41" fontId="11" fillId="2" borderId="149" xfId="2" applyFont="1" applyFill="1" applyBorder="1" applyAlignment="1">
      <alignment horizontal="right" vertical="center" wrapText="1"/>
    </xf>
    <xf numFmtId="0" fontId="11" fillId="2" borderId="40" xfId="1" applyFont="1" applyFill="1" applyBorder="1" applyAlignment="1">
      <alignment horizontal="left" vertical="center" wrapText="1"/>
    </xf>
    <xf numFmtId="0" fontId="11" fillId="2" borderId="145" xfId="1" applyFont="1" applyFill="1" applyBorder="1" applyAlignment="1">
      <alignment horizontal="left" vertical="center" wrapText="1"/>
    </xf>
    <xf numFmtId="41" fontId="11" fillId="2" borderId="30" xfId="2" applyFont="1" applyFill="1" applyBorder="1" applyAlignment="1">
      <alignment horizontal="right" vertical="center" wrapText="1"/>
    </xf>
    <xf numFmtId="41" fontId="11" fillId="2" borderId="131" xfId="2" applyFont="1" applyFill="1" applyBorder="1" applyAlignment="1">
      <alignment horizontal="right" vertical="center" wrapText="1"/>
    </xf>
    <xf numFmtId="0" fontId="11" fillId="2" borderId="78" xfId="1" applyFont="1" applyFill="1" applyBorder="1" applyAlignment="1">
      <alignment vertical="center" wrapText="1"/>
    </xf>
    <xf numFmtId="0" fontId="11" fillId="2" borderId="67" xfId="1" applyFont="1" applyFill="1" applyBorder="1" applyAlignment="1">
      <alignment vertical="center" wrapText="1"/>
    </xf>
    <xf numFmtId="0" fontId="11" fillId="2" borderId="68" xfId="1" applyFont="1" applyFill="1" applyBorder="1" applyAlignment="1">
      <alignment vertical="center" wrapText="1"/>
    </xf>
    <xf numFmtId="0" fontId="11" fillId="2" borderId="70" xfId="1" applyFont="1" applyFill="1" applyBorder="1" applyAlignment="1">
      <alignment vertical="center" wrapText="1"/>
    </xf>
    <xf numFmtId="41" fontId="11" fillId="2" borderId="92" xfId="2" applyFont="1" applyFill="1" applyBorder="1" applyAlignment="1">
      <alignment horizontal="right" vertical="center" wrapText="1"/>
    </xf>
    <xf numFmtId="41" fontId="11" fillId="2" borderId="94" xfId="2" applyFont="1" applyFill="1" applyBorder="1" applyAlignment="1">
      <alignment horizontal="right" vertical="center" wrapText="1"/>
    </xf>
    <xf numFmtId="177" fontId="11" fillId="2" borderId="79" xfId="1" applyNumberFormat="1" applyFont="1" applyFill="1" applyBorder="1" applyAlignment="1">
      <alignment horizontal="right" vertical="center"/>
    </xf>
    <xf numFmtId="177" fontId="11" fillId="2" borderId="64" xfId="1" applyNumberFormat="1" applyFont="1" applyFill="1" applyBorder="1" applyAlignment="1">
      <alignment horizontal="right" vertical="center"/>
    </xf>
    <xf numFmtId="41" fontId="11" fillId="0" borderId="73" xfId="2" applyFont="1" applyFill="1" applyBorder="1" applyAlignment="1">
      <alignment horizontal="center" vertical="center" wrapText="1"/>
    </xf>
    <xf numFmtId="41" fontId="11" fillId="0" borderId="68" xfId="2" applyFont="1" applyFill="1" applyBorder="1" applyAlignment="1">
      <alignment horizontal="center" vertical="center" wrapText="1"/>
    </xf>
    <xf numFmtId="41" fontId="11" fillId="2" borderId="12" xfId="2" applyFont="1" applyFill="1" applyBorder="1" applyAlignment="1">
      <alignment horizontal="left" vertical="center" wrapText="1"/>
    </xf>
    <xf numFmtId="41" fontId="11" fillId="2" borderId="131" xfId="2" applyFont="1" applyFill="1" applyBorder="1" applyAlignment="1">
      <alignment horizontal="left" vertical="center" wrapText="1"/>
    </xf>
    <xf numFmtId="0" fontId="11" fillId="2" borderId="150" xfId="1" applyFont="1" applyFill="1" applyBorder="1" applyAlignment="1">
      <alignment horizontal="left" vertical="center" wrapText="1"/>
    </xf>
    <xf numFmtId="0" fontId="11" fillId="2" borderId="153" xfId="1" applyFont="1" applyFill="1" applyBorder="1" applyAlignment="1">
      <alignment horizontal="left" vertical="center" wrapText="1"/>
    </xf>
    <xf numFmtId="0" fontId="11" fillId="2" borderId="92" xfId="1" applyFont="1" applyFill="1" applyBorder="1" applyAlignment="1">
      <alignment horizontal="left" vertical="center" wrapText="1"/>
    </xf>
    <xf numFmtId="0" fontId="11" fillId="2" borderId="105" xfId="1" applyFont="1" applyFill="1" applyBorder="1" applyAlignment="1">
      <alignment horizontal="left" vertical="center" wrapText="1"/>
    </xf>
    <xf numFmtId="41" fontId="11" fillId="2" borderId="73" xfId="2" applyFont="1" applyFill="1" applyBorder="1" applyAlignment="1">
      <alignment horizontal="center" vertical="center" wrapText="1"/>
    </xf>
    <xf numFmtId="41" fontId="11" fillId="0" borderId="22" xfId="2" applyFont="1" applyFill="1" applyBorder="1" applyAlignment="1">
      <alignment horizontal="center" vertical="center" wrapText="1"/>
    </xf>
    <xf numFmtId="41" fontId="11" fillId="0" borderId="30" xfId="2" applyFont="1" applyFill="1" applyBorder="1" applyAlignment="1">
      <alignment horizontal="center" vertical="center" wrapText="1"/>
    </xf>
    <xf numFmtId="41" fontId="11" fillId="2" borderId="142" xfId="2" applyFont="1" applyFill="1" applyBorder="1" applyAlignment="1">
      <alignment horizontal="left" vertical="center" wrapText="1"/>
    </xf>
    <xf numFmtId="41" fontId="11" fillId="2" borderId="108" xfId="2" applyFont="1" applyFill="1" applyBorder="1" applyAlignment="1">
      <alignment horizontal="left" vertical="center" wrapText="1"/>
    </xf>
    <xf numFmtId="41" fontId="11" fillId="0" borderId="10" xfId="2" applyFont="1" applyFill="1" applyBorder="1" applyAlignment="1">
      <alignment horizontal="center" vertical="center" wrapText="1"/>
    </xf>
    <xf numFmtId="0" fontId="10" fillId="2" borderId="141" xfId="1" applyFont="1" applyFill="1" applyBorder="1" applyAlignment="1">
      <alignment horizontal="center" vertical="center" wrapText="1"/>
    </xf>
    <xf numFmtId="41" fontId="11" fillId="2" borderId="22" xfId="2" applyFont="1" applyFill="1" applyBorder="1" applyAlignment="1">
      <alignment horizontal="center" vertical="center" wrapText="1"/>
    </xf>
    <xf numFmtId="41" fontId="11" fillId="2" borderId="142" xfId="2" applyFont="1" applyFill="1" applyBorder="1" applyAlignment="1">
      <alignment horizontal="right" vertical="center" wrapText="1"/>
    </xf>
    <xf numFmtId="41" fontId="11" fillId="2" borderId="108" xfId="2" applyFont="1" applyFill="1" applyBorder="1" applyAlignment="1">
      <alignment horizontal="right" vertical="center" wrapText="1"/>
    </xf>
    <xf numFmtId="0" fontId="11" fillId="2" borderId="143" xfId="1" applyFont="1" applyFill="1" applyBorder="1" applyAlignment="1">
      <alignment horizontal="left" vertical="center" wrapText="1"/>
    </xf>
    <xf numFmtId="0" fontId="11" fillId="2" borderId="144" xfId="1" applyFont="1" applyFill="1" applyBorder="1" applyAlignment="1">
      <alignment horizontal="left" vertical="center" wrapText="1"/>
    </xf>
    <xf numFmtId="0" fontId="11" fillId="2" borderId="22" xfId="1" applyFont="1" applyFill="1" applyBorder="1" applyAlignment="1">
      <alignment horizontal="left" vertical="center" wrapText="1"/>
    </xf>
    <xf numFmtId="0" fontId="10" fillId="2" borderId="139" xfId="1" applyFont="1" applyFill="1" applyBorder="1" applyAlignment="1">
      <alignment horizontal="center" vertical="center" wrapText="1"/>
    </xf>
    <xf numFmtId="176" fontId="10" fillId="2" borderId="95" xfId="1" applyNumberFormat="1" applyFont="1" applyFill="1" applyBorder="1" applyAlignment="1">
      <alignment horizontal="center" vertical="center" wrapText="1"/>
    </xf>
    <xf numFmtId="176" fontId="10" fillId="2" borderId="102" xfId="1" applyNumberFormat="1" applyFont="1" applyFill="1" applyBorder="1" applyAlignment="1">
      <alignment horizontal="center" vertical="center" wrapText="1"/>
    </xf>
    <xf numFmtId="176" fontId="11" fillId="2" borderId="96" xfId="1" applyNumberFormat="1" applyFont="1" applyFill="1" applyBorder="1" applyAlignment="1">
      <alignment horizontal="left" vertical="center" wrapText="1"/>
    </xf>
    <xf numFmtId="176" fontId="11" fillId="2" borderId="62" xfId="1" applyNumberFormat="1" applyFont="1" applyFill="1" applyBorder="1" applyAlignment="1">
      <alignment horizontal="left" vertical="center" wrapText="1"/>
    </xf>
    <xf numFmtId="176" fontId="11" fillId="2" borderId="70" xfId="1" applyNumberFormat="1" applyFont="1" applyFill="1" applyBorder="1" applyAlignment="1">
      <alignment horizontal="left" vertical="center" wrapText="1"/>
    </xf>
    <xf numFmtId="176" fontId="11" fillId="2" borderId="40" xfId="1" applyNumberFormat="1" applyFont="1" applyFill="1" applyBorder="1" applyAlignment="1">
      <alignment vertical="center" wrapText="1"/>
    </xf>
    <xf numFmtId="176" fontId="11" fillId="2" borderId="37" xfId="1" applyNumberFormat="1" applyFont="1" applyFill="1" applyBorder="1" applyAlignment="1">
      <alignment vertical="center" wrapText="1"/>
    </xf>
    <xf numFmtId="176" fontId="11" fillId="2" borderId="10" xfId="1" applyNumberFormat="1" applyFont="1" applyFill="1" applyBorder="1" applyAlignment="1">
      <alignment vertical="center" wrapText="1"/>
    </xf>
    <xf numFmtId="176" fontId="11" fillId="2" borderId="30" xfId="1" applyNumberFormat="1" applyFont="1" applyFill="1" applyBorder="1" applyAlignment="1">
      <alignment vertical="center" wrapText="1"/>
    </xf>
    <xf numFmtId="176" fontId="11" fillId="2" borderId="78" xfId="1" applyNumberFormat="1" applyFont="1" applyFill="1" applyBorder="1" applyAlignment="1">
      <alignment horizontal="left" vertical="center" wrapText="1"/>
    </xf>
    <xf numFmtId="176" fontId="11" fillId="2" borderId="67" xfId="1" applyNumberFormat="1" applyFont="1" applyFill="1" applyBorder="1" applyAlignment="1">
      <alignment horizontal="left" vertical="center" wrapText="1"/>
    </xf>
    <xf numFmtId="176" fontId="11" fillId="2" borderId="10" xfId="1" applyNumberFormat="1" applyFont="1" applyFill="1" applyBorder="1" applyAlignment="1">
      <alignment horizontal="left" vertical="center" wrapText="1"/>
    </xf>
    <xf numFmtId="176" fontId="11" fillId="2" borderId="68" xfId="1" applyNumberFormat="1" applyFont="1" applyFill="1" applyBorder="1" applyAlignment="1">
      <alignment horizontal="left" vertical="center" wrapText="1"/>
    </xf>
    <xf numFmtId="176" fontId="11" fillId="2" borderId="73" xfId="1" applyNumberFormat="1" applyFont="1" applyFill="1" applyBorder="1" applyAlignment="1">
      <alignment horizontal="left" vertical="center" wrapText="1"/>
    </xf>
    <xf numFmtId="176" fontId="11" fillId="2" borderId="30" xfId="1" applyNumberFormat="1" applyFont="1" applyFill="1" applyBorder="1" applyAlignment="1">
      <alignment horizontal="left" vertical="center" wrapText="1"/>
    </xf>
    <xf numFmtId="176" fontId="11" fillId="2" borderId="78" xfId="1" applyNumberFormat="1" applyFont="1" applyFill="1" applyBorder="1" applyAlignment="1">
      <alignment vertical="center" wrapText="1"/>
    </xf>
    <xf numFmtId="176" fontId="11" fillId="2" borderId="62" xfId="1" applyNumberFormat="1" applyFont="1" applyFill="1" applyBorder="1" applyAlignment="1">
      <alignment vertical="center" wrapText="1"/>
    </xf>
    <xf numFmtId="176" fontId="11" fillId="2" borderId="70" xfId="1" applyNumberFormat="1" applyFont="1" applyFill="1" applyBorder="1" applyAlignment="1">
      <alignment vertical="center" wrapText="1"/>
    </xf>
    <xf numFmtId="176" fontId="11" fillId="2" borderId="31" xfId="1" applyNumberFormat="1" applyFont="1" applyFill="1" applyBorder="1" applyAlignment="1">
      <alignment vertical="center" wrapText="1"/>
    </xf>
    <xf numFmtId="176" fontId="11" fillId="2" borderId="72" xfId="1" applyNumberFormat="1" applyFont="1" applyFill="1" applyBorder="1" applyAlignment="1">
      <alignment horizontal="left" vertical="center" wrapText="1"/>
    </xf>
    <xf numFmtId="176" fontId="10" fillId="2" borderId="61" xfId="1" applyNumberFormat="1" applyFont="1" applyFill="1" applyBorder="1" applyAlignment="1">
      <alignment horizontal="center" vertical="center" wrapText="1"/>
    </xf>
    <xf numFmtId="176" fontId="10" fillId="2" borderId="66" xfId="1" applyNumberFormat="1" applyFont="1" applyFill="1" applyBorder="1" applyAlignment="1">
      <alignment horizontal="center" vertical="center" wrapText="1"/>
    </xf>
    <xf numFmtId="176" fontId="11" fillId="2" borderId="31" xfId="1" applyNumberFormat="1" applyFont="1" applyFill="1" applyBorder="1" applyAlignment="1">
      <alignment horizontal="left" vertical="center" wrapText="1"/>
    </xf>
    <xf numFmtId="176" fontId="11" fillId="2" borderId="40" xfId="1" applyNumberFormat="1" applyFont="1" applyFill="1" applyBorder="1" applyAlignment="1">
      <alignment horizontal="left" vertical="center" wrapText="1"/>
    </xf>
    <xf numFmtId="176" fontId="11" fillId="2" borderId="145" xfId="1" applyNumberFormat="1" applyFont="1" applyFill="1" applyBorder="1" applyAlignment="1">
      <alignment horizontal="left" vertical="center" wrapText="1"/>
    </xf>
    <xf numFmtId="176" fontId="11" fillId="2" borderId="105" xfId="1" applyNumberFormat="1" applyFont="1" applyFill="1" applyBorder="1" applyAlignment="1">
      <alignment horizontal="left" vertical="center" wrapText="1"/>
    </xf>
    <xf numFmtId="176" fontId="11" fillId="2" borderId="37" xfId="1" applyNumberFormat="1" applyFont="1" applyFill="1" applyBorder="1" applyAlignment="1">
      <alignment horizontal="left" vertical="center" wrapText="1"/>
    </xf>
    <xf numFmtId="176" fontId="11" fillId="2" borderId="150" xfId="1" applyNumberFormat="1" applyFont="1" applyFill="1" applyBorder="1" applyAlignment="1">
      <alignment horizontal="left" vertical="center" wrapText="1"/>
    </xf>
    <xf numFmtId="176" fontId="11" fillId="2" borderId="153" xfId="1" applyNumberFormat="1" applyFont="1" applyFill="1" applyBorder="1" applyAlignment="1">
      <alignment horizontal="left" vertical="center" wrapText="1"/>
    </xf>
    <xf numFmtId="176" fontId="11" fillId="2" borderId="124" xfId="1" applyNumberFormat="1" applyFont="1" applyFill="1" applyBorder="1" applyAlignment="1">
      <alignment horizontal="left" vertical="center" wrapText="1"/>
    </xf>
    <xf numFmtId="176" fontId="10" fillId="2" borderId="10" xfId="1" applyNumberFormat="1" applyFont="1" applyFill="1" applyBorder="1" applyAlignment="1">
      <alignment horizontal="center" vertical="center" wrapText="1"/>
    </xf>
    <xf numFmtId="176" fontId="10" fillId="2" borderId="16" xfId="1" applyNumberFormat="1" applyFont="1" applyFill="1" applyBorder="1" applyAlignment="1">
      <alignment horizontal="center" vertical="center" wrapText="1"/>
    </xf>
    <xf numFmtId="176" fontId="10" fillId="2" borderId="79" xfId="1" applyNumberFormat="1" applyFont="1" applyFill="1" applyBorder="1" applyAlignment="1">
      <alignment horizontal="center" vertical="center" wrapText="1"/>
    </xf>
    <xf numFmtId="176" fontId="10" fillId="2" borderId="177" xfId="1" applyNumberFormat="1" applyFont="1" applyFill="1" applyBorder="1" applyAlignment="1">
      <alignment horizontal="center" vertical="center" wrapText="1"/>
    </xf>
    <xf numFmtId="176" fontId="10" fillId="2" borderId="2" xfId="1" applyNumberFormat="1" applyFont="1" applyFill="1" applyBorder="1" applyAlignment="1">
      <alignment horizontal="center" vertical="center" wrapText="1"/>
    </xf>
    <xf numFmtId="176" fontId="10" fillId="2" borderId="6" xfId="1" applyNumberFormat="1" applyFont="1" applyFill="1" applyBorder="1" applyAlignment="1">
      <alignment horizontal="center" vertical="center" wrapText="1"/>
    </xf>
    <xf numFmtId="176" fontId="11" fillId="2" borderId="21" xfId="1" applyNumberFormat="1" applyFont="1" applyFill="1" applyBorder="1" applyAlignment="1">
      <alignment horizontal="left" vertical="center" wrapText="1"/>
    </xf>
    <xf numFmtId="176" fontId="11" fillId="2" borderId="29" xfId="1" applyNumberFormat="1" applyFont="1" applyFill="1" applyBorder="1" applyAlignment="1">
      <alignment horizontal="left" vertical="center" wrapText="1"/>
    </xf>
    <xf numFmtId="176" fontId="11" fillId="2" borderId="143" xfId="1" applyNumberFormat="1" applyFont="1" applyFill="1" applyBorder="1" applyAlignment="1">
      <alignment horizontal="left" vertical="center" wrapText="1"/>
    </xf>
    <xf numFmtId="176" fontId="11" fillId="2" borderId="144" xfId="1" applyNumberFormat="1" applyFont="1" applyFill="1" applyBorder="1" applyAlignment="1">
      <alignment horizontal="left" vertical="center" wrapText="1"/>
    </xf>
    <xf numFmtId="176" fontId="11" fillId="2" borderId="22" xfId="1" applyNumberFormat="1" applyFont="1" applyFill="1" applyBorder="1" applyAlignment="1">
      <alignment horizontal="left" vertical="center" wrapText="1"/>
    </xf>
    <xf numFmtId="176" fontId="9" fillId="2" borderId="1" xfId="1" applyNumberFormat="1" applyFont="1" applyFill="1" applyBorder="1" applyAlignment="1">
      <alignment horizontal="right" vertical="center"/>
    </xf>
    <xf numFmtId="176" fontId="9" fillId="2" borderId="0" xfId="1" applyNumberFormat="1" applyFont="1" applyFill="1" applyBorder="1" applyAlignment="1">
      <alignment horizontal="right" vertical="center"/>
    </xf>
    <xf numFmtId="176" fontId="10" fillId="2" borderId="13" xfId="1" applyNumberFormat="1" applyFont="1" applyFill="1" applyBorder="1" applyAlignment="1">
      <alignment horizontal="center" vertical="center" wrapText="1"/>
    </xf>
    <xf numFmtId="176" fontId="10" fillId="2" borderId="3" xfId="1" applyNumberFormat="1" applyFont="1" applyFill="1" applyBorder="1" applyAlignment="1">
      <alignment horizontal="center" vertical="center" wrapText="1"/>
    </xf>
    <xf numFmtId="176" fontId="10" fillId="2" borderId="4" xfId="1" applyNumberFormat="1" applyFont="1" applyFill="1" applyBorder="1" applyAlignment="1">
      <alignment horizontal="center" vertical="center" wrapText="1"/>
    </xf>
    <xf numFmtId="176" fontId="10" fillId="2" borderId="5" xfId="1" applyNumberFormat="1" applyFont="1" applyFill="1" applyBorder="1" applyAlignment="1">
      <alignment horizontal="center" vertical="center" wrapText="1"/>
    </xf>
    <xf numFmtId="176" fontId="10" fillId="2" borderId="175" xfId="1" applyNumberFormat="1" applyFont="1" applyFill="1" applyBorder="1" applyAlignment="1">
      <alignment horizontal="center" vertical="center" wrapText="1"/>
    </xf>
    <xf numFmtId="176" fontId="10" fillId="2" borderId="176" xfId="1" applyNumberFormat="1" applyFont="1" applyFill="1" applyBorder="1" applyAlignment="1">
      <alignment horizontal="center" vertical="center" wrapText="1"/>
    </xf>
    <xf numFmtId="176" fontId="10" fillId="2" borderId="7" xfId="1" applyNumberFormat="1" applyFont="1" applyFill="1" applyBorder="1" applyAlignment="1">
      <alignment horizontal="center" vertical="center" wrapText="1"/>
    </xf>
    <xf numFmtId="176" fontId="10" fillId="2" borderId="8" xfId="1" applyNumberFormat="1" applyFont="1" applyFill="1" applyBorder="1" applyAlignment="1">
      <alignment horizontal="center" vertical="center" wrapText="1"/>
    </xf>
    <xf numFmtId="176" fontId="10" fillId="2" borderId="9" xfId="1" applyNumberFormat="1" applyFont="1" applyFill="1" applyBorder="1" applyAlignment="1">
      <alignment horizontal="center" vertical="center" wrapText="1"/>
    </xf>
    <xf numFmtId="176" fontId="10" fillId="2" borderId="12" xfId="1" applyNumberFormat="1" applyFont="1" applyFill="1" applyBorder="1" applyAlignment="1">
      <alignment horizontal="center" vertical="center" wrapText="1"/>
    </xf>
    <xf numFmtId="176" fontId="10" fillId="2" borderId="20" xfId="1" applyNumberFormat="1" applyFont="1" applyFill="1" applyBorder="1" applyAlignment="1">
      <alignment horizontal="center" vertical="center" wrapText="1"/>
    </xf>
    <xf numFmtId="176" fontId="2" fillId="0" borderId="0" xfId="1" applyNumberFormat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left" vertical="center"/>
    </xf>
    <xf numFmtId="176" fontId="2" fillId="2" borderId="0" xfId="1" applyNumberFormat="1" applyFont="1" applyFill="1" applyAlignment="1">
      <alignment horizontal="center" vertical="center"/>
    </xf>
    <xf numFmtId="176" fontId="6" fillId="2" borderId="0" xfId="1" applyNumberFormat="1" applyFont="1" applyFill="1" applyAlignment="1">
      <alignment horizontal="center" vertical="center"/>
    </xf>
    <xf numFmtId="176" fontId="7" fillId="2" borderId="0" xfId="1" applyNumberFormat="1" applyFont="1" applyFill="1" applyAlignment="1">
      <alignment horizontal="center" vertical="center"/>
    </xf>
    <xf numFmtId="176" fontId="8" fillId="2" borderId="0" xfId="1" applyNumberFormat="1" applyFont="1" applyFill="1" applyAlignment="1">
      <alignment horizontal="center" vertical="center"/>
    </xf>
    <xf numFmtId="176" fontId="11" fillId="2" borderId="65" xfId="1" applyNumberFormat="1" applyFont="1" applyFill="1" applyBorder="1" applyAlignment="1">
      <alignment horizontal="right" vertical="center" wrapText="1"/>
    </xf>
    <xf numFmtId="176" fontId="11" fillId="2" borderId="64" xfId="1" applyNumberFormat="1" applyFont="1" applyFill="1" applyBorder="1" applyAlignment="1">
      <alignment horizontal="right" vertical="center" wrapText="1"/>
    </xf>
    <xf numFmtId="177" fontId="11" fillId="2" borderId="12" xfId="1" applyNumberFormat="1" applyFont="1" applyFill="1" applyBorder="1" applyAlignment="1">
      <alignment horizontal="center" vertical="center" wrapText="1"/>
    </xf>
    <xf numFmtId="177" fontId="11" fillId="2" borderId="104" xfId="1" applyNumberFormat="1" applyFont="1" applyFill="1" applyBorder="1" applyAlignment="1">
      <alignment horizontal="center" vertical="center" wrapText="1"/>
    </xf>
    <xf numFmtId="41" fontId="11" fillId="2" borderId="79" xfId="1" applyNumberFormat="1" applyFont="1" applyFill="1" applyBorder="1" applyAlignment="1">
      <alignment horizontal="right" vertical="center" wrapText="1"/>
    </xf>
    <xf numFmtId="41" fontId="11" fillId="2" borderId="64" xfId="1" applyNumberFormat="1" applyFont="1" applyFill="1" applyBorder="1" applyAlignment="1">
      <alignment horizontal="right" vertical="center" wrapText="1"/>
    </xf>
    <xf numFmtId="0" fontId="11" fillId="2" borderId="62" xfId="1" applyFont="1" applyFill="1" applyBorder="1" applyAlignment="1">
      <alignment vertical="center" wrapText="1"/>
    </xf>
    <xf numFmtId="0" fontId="11" fillId="2" borderId="123" xfId="1" applyFont="1" applyFill="1" applyBorder="1" applyAlignment="1">
      <alignment vertical="center" wrapText="1"/>
    </xf>
    <xf numFmtId="0" fontId="11" fillId="2" borderId="31" xfId="1" applyFont="1" applyFill="1" applyBorder="1" applyAlignment="1">
      <alignment vertical="center" wrapText="1"/>
    </xf>
    <xf numFmtId="0" fontId="11" fillId="2" borderId="124" xfId="1" applyFont="1" applyFill="1" applyBorder="1" applyAlignment="1">
      <alignment vertical="center" wrapText="1"/>
    </xf>
    <xf numFmtId="41" fontId="11" fillId="2" borderId="79" xfId="1" applyNumberFormat="1" applyFont="1" applyFill="1" applyBorder="1" applyAlignment="1">
      <alignment horizontal="center" vertical="center"/>
    </xf>
    <xf numFmtId="41" fontId="11" fillId="2" borderId="64" xfId="1" applyNumberFormat="1" applyFont="1" applyFill="1" applyBorder="1" applyAlignment="1">
      <alignment horizontal="center" vertical="center"/>
    </xf>
    <xf numFmtId="0" fontId="11" fillId="2" borderId="184" xfId="1" applyFont="1" applyFill="1" applyBorder="1" applyAlignment="1">
      <alignment horizontal="left" vertical="center" wrapText="1"/>
    </xf>
    <xf numFmtId="41" fontId="11" fillId="2" borderId="182" xfId="1" applyNumberFormat="1" applyFont="1" applyFill="1" applyBorder="1" applyAlignment="1">
      <alignment horizontal="center" vertical="center" wrapText="1"/>
    </xf>
    <xf numFmtId="41" fontId="11" fillId="2" borderId="69" xfId="1" applyNumberFormat="1" applyFont="1" applyFill="1" applyBorder="1" applyAlignment="1">
      <alignment horizontal="center" vertical="center" wrapText="1"/>
    </xf>
    <xf numFmtId="176" fontId="11" fillId="2" borderId="79" xfId="1" applyNumberFormat="1" applyFont="1" applyFill="1" applyBorder="1" applyAlignment="1">
      <alignment horizontal="left" vertical="center" wrapText="1"/>
    </xf>
    <xf numFmtId="176" fontId="11" fillId="2" borderId="64" xfId="1" applyNumberFormat="1" applyFont="1" applyFill="1" applyBorder="1" applyAlignment="1">
      <alignment horizontal="left" vertical="center" wrapText="1"/>
    </xf>
    <xf numFmtId="0" fontId="10" fillId="2" borderId="79" xfId="1" applyFont="1" applyFill="1" applyBorder="1" applyAlignment="1">
      <alignment horizontal="center" vertical="center" wrapText="1"/>
    </xf>
    <xf numFmtId="0" fontId="10" fillId="2" borderId="177" xfId="1" applyFont="1" applyFill="1" applyBorder="1" applyAlignment="1">
      <alignment horizontal="center" vertical="center" wrapText="1"/>
    </xf>
    <xf numFmtId="177" fontId="11" fillId="2" borderId="142" xfId="1" applyNumberFormat="1" applyFont="1" applyFill="1" applyBorder="1" applyAlignment="1">
      <alignment horizontal="right" vertical="center" wrapText="1"/>
    </xf>
    <xf numFmtId="177" fontId="11" fillId="2" borderId="108" xfId="1" applyNumberFormat="1" applyFont="1" applyFill="1" applyBorder="1" applyAlignment="1">
      <alignment horizontal="right" vertical="center" wrapText="1"/>
    </xf>
    <xf numFmtId="176" fontId="11" fillId="2" borderId="182" xfId="1" applyNumberFormat="1" applyFont="1" applyFill="1" applyBorder="1" applyAlignment="1">
      <alignment horizontal="left" vertical="center" wrapText="1"/>
    </xf>
    <xf numFmtId="176" fontId="11" fillId="2" borderId="65" xfId="1" applyNumberFormat="1" applyFont="1" applyFill="1" applyBorder="1" applyAlignment="1">
      <alignment horizontal="left" vertical="center" wrapText="1"/>
    </xf>
    <xf numFmtId="177" fontId="11" fillId="2" borderId="12" xfId="1" applyNumberFormat="1" applyFont="1" applyFill="1" applyBorder="1" applyAlignment="1">
      <alignment horizontal="right" vertical="center" wrapText="1"/>
    </xf>
    <xf numFmtId="177" fontId="11" fillId="2" borderId="131" xfId="1" applyNumberFormat="1" applyFont="1" applyFill="1" applyBorder="1" applyAlignment="1">
      <alignment horizontal="right" vertical="center" wrapText="1"/>
    </xf>
    <xf numFmtId="0" fontId="10" fillId="2" borderId="175" xfId="1" applyFont="1" applyFill="1" applyBorder="1" applyAlignment="1">
      <alignment horizontal="center" vertical="center" wrapText="1"/>
    </xf>
    <xf numFmtId="0" fontId="10" fillId="2" borderId="176" xfId="1" applyFont="1" applyFill="1" applyBorder="1" applyAlignment="1">
      <alignment horizontal="center" vertical="center" wrapText="1"/>
    </xf>
    <xf numFmtId="41" fontId="2" fillId="2" borderId="0" xfId="3" applyFont="1" applyFill="1">
      <alignment vertical="center"/>
    </xf>
    <xf numFmtId="41" fontId="2" fillId="2" borderId="0" xfId="1" applyNumberFormat="1" applyFont="1" applyFill="1">
      <alignment vertical="center"/>
    </xf>
    <xf numFmtId="0" fontId="10" fillId="2" borderId="203" xfId="1" applyFont="1" applyFill="1" applyBorder="1" applyAlignment="1">
      <alignment horizontal="center" vertical="center" wrapText="1"/>
    </xf>
    <xf numFmtId="41" fontId="10" fillId="2" borderId="60" xfId="2" applyFont="1" applyFill="1" applyBorder="1" applyAlignment="1">
      <alignment horizontal="right" vertical="center" wrapText="1"/>
    </xf>
    <xf numFmtId="0" fontId="11" fillId="2" borderId="204" xfId="1" applyFont="1" applyFill="1" applyBorder="1" applyAlignment="1">
      <alignment horizontal="left" vertical="center" wrapText="1"/>
    </xf>
    <xf numFmtId="0" fontId="11" fillId="2" borderId="166" xfId="1" applyFont="1" applyFill="1" applyBorder="1" applyAlignment="1">
      <alignment horizontal="left" vertical="center" wrapText="1"/>
    </xf>
    <xf numFmtId="0" fontId="11" fillId="2" borderId="17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left" vertical="center" wrapText="1"/>
    </xf>
    <xf numFmtId="0" fontId="11" fillId="2" borderId="171" xfId="1" applyFont="1" applyFill="1" applyBorder="1" applyAlignment="1">
      <alignment horizontal="left" vertical="center" wrapText="1"/>
    </xf>
    <xf numFmtId="0" fontId="11" fillId="2" borderId="205" xfId="1" applyFont="1" applyFill="1" applyBorder="1" applyAlignment="1">
      <alignment horizontal="left" vertical="center" wrapText="1"/>
    </xf>
    <xf numFmtId="0" fontId="10" fillId="2" borderId="206" xfId="1" applyFont="1" applyFill="1" applyBorder="1" applyAlignment="1">
      <alignment horizontal="center" vertical="center" wrapText="1"/>
    </xf>
    <xf numFmtId="0" fontId="10" fillId="2" borderId="207" xfId="1" applyFont="1" applyFill="1" applyBorder="1" applyAlignment="1">
      <alignment horizontal="center" vertical="center" wrapText="1"/>
    </xf>
    <xf numFmtId="0" fontId="10" fillId="2" borderId="208" xfId="1" applyFont="1" applyFill="1" applyBorder="1" applyAlignment="1">
      <alignment horizontal="center" vertical="center" wrapText="1"/>
    </xf>
    <xf numFmtId="177" fontId="11" fillId="2" borderId="93" xfId="1" applyNumberFormat="1" applyFont="1" applyFill="1" applyBorder="1" applyAlignment="1">
      <alignment horizontal="right" vertical="center" wrapText="1"/>
    </xf>
    <xf numFmtId="41" fontId="11" fillId="2" borderId="11" xfId="2" applyFont="1" applyFill="1" applyBorder="1" applyAlignment="1">
      <alignment horizontal="right" vertical="center" wrapText="1"/>
    </xf>
    <xf numFmtId="41" fontId="11" fillId="2" borderId="32" xfId="2" applyFont="1" applyFill="1" applyBorder="1" applyAlignment="1">
      <alignment horizontal="right" vertical="center" wrapText="1"/>
    </xf>
    <xf numFmtId="177" fontId="11" fillId="2" borderId="76" xfId="1" applyNumberFormat="1" applyFont="1" applyFill="1" applyBorder="1" applyAlignment="1">
      <alignment horizontal="right" vertical="center" wrapText="1"/>
    </xf>
    <xf numFmtId="177" fontId="11" fillId="2" borderId="133" xfId="1" applyNumberFormat="1" applyFont="1" applyFill="1" applyBorder="1" applyAlignment="1">
      <alignment horizontal="right" vertical="center" wrapText="1"/>
    </xf>
    <xf numFmtId="177" fontId="11" fillId="2" borderId="38" xfId="1" applyNumberFormat="1" applyFont="1" applyFill="1" applyBorder="1" applyAlignment="1">
      <alignment horizontal="right" vertical="center" wrapText="1"/>
    </xf>
    <xf numFmtId="177" fontId="10" fillId="2" borderId="17" xfId="1" applyNumberFormat="1" applyFont="1" applyFill="1" applyBorder="1" applyAlignment="1">
      <alignment horizontal="right" vertical="center" wrapText="1"/>
    </xf>
    <xf numFmtId="0" fontId="10" fillId="2" borderId="209" xfId="1" applyFont="1" applyFill="1" applyBorder="1" applyAlignment="1">
      <alignment horizontal="center" vertical="center" wrapText="1"/>
    </xf>
    <xf numFmtId="0" fontId="10" fillId="2" borderId="59" xfId="1" applyFont="1" applyFill="1" applyBorder="1" applyAlignment="1">
      <alignment horizontal="justify" vertical="center" wrapText="1"/>
    </xf>
    <xf numFmtId="41" fontId="10" fillId="2" borderId="57" xfId="1" applyNumberFormat="1" applyFont="1" applyFill="1" applyBorder="1" applyAlignment="1">
      <alignment horizontal="justify" vertical="center" wrapText="1"/>
    </xf>
    <xf numFmtId="0" fontId="11" fillId="2" borderId="145" xfId="1" applyFont="1" applyFill="1" applyBorder="1" applyAlignment="1">
      <alignment vertical="center" wrapText="1"/>
    </xf>
    <xf numFmtId="0" fontId="10" fillId="2" borderId="58" xfId="1" applyFont="1" applyFill="1" applyBorder="1" applyAlignment="1">
      <alignment horizontal="center" vertical="center" wrapText="1"/>
    </xf>
    <xf numFmtId="0" fontId="15" fillId="2" borderId="33" xfId="1" applyFont="1" applyFill="1" applyBorder="1" applyAlignment="1">
      <alignment vertical="center" wrapText="1"/>
    </xf>
    <xf numFmtId="0" fontId="15" fillId="2" borderId="34" xfId="1" applyFont="1" applyFill="1" applyBorder="1" applyAlignment="1">
      <alignment vertical="center" wrapText="1"/>
    </xf>
    <xf numFmtId="176" fontId="11" fillId="2" borderId="210" xfId="1" applyNumberFormat="1" applyFont="1" applyFill="1" applyBorder="1" applyAlignment="1">
      <alignment horizontal="left" vertical="center" wrapText="1"/>
    </xf>
    <xf numFmtId="176" fontId="11" fillId="2" borderId="107" xfId="2" applyNumberFormat="1" applyFont="1" applyFill="1" applyBorder="1" applyAlignment="1">
      <alignment horizontal="right" vertical="center" wrapText="1"/>
    </xf>
    <xf numFmtId="176" fontId="11" fillId="2" borderId="107" xfId="1" applyNumberFormat="1" applyFont="1" applyFill="1" applyBorder="1" applyAlignment="1">
      <alignment horizontal="right" vertical="center" wrapText="1"/>
    </xf>
    <xf numFmtId="176" fontId="11" fillId="2" borderId="47" xfId="1" applyNumberFormat="1" applyFont="1" applyFill="1" applyBorder="1" applyAlignment="1">
      <alignment vertical="center" wrapText="1"/>
    </xf>
    <xf numFmtId="176" fontId="11" fillId="2" borderId="48" xfId="1" applyNumberFormat="1" applyFont="1" applyFill="1" applyBorder="1" applyAlignment="1">
      <alignment vertical="center" wrapText="1"/>
    </xf>
    <xf numFmtId="176" fontId="12" fillId="2" borderId="129" xfId="2" applyNumberFormat="1" applyFont="1" applyFill="1" applyBorder="1" applyAlignment="1">
      <alignment horizontal="right" vertical="center" wrapText="1"/>
    </xf>
    <xf numFmtId="176" fontId="12" fillId="2" borderId="34" xfId="2" applyNumberFormat="1" applyFont="1" applyFill="1" applyBorder="1" applyAlignment="1">
      <alignment horizontal="right" vertical="center" wrapText="1"/>
    </xf>
    <xf numFmtId="176" fontId="12" fillId="2" borderId="38" xfId="2" applyNumberFormat="1" applyFont="1" applyFill="1" applyBorder="1" applyAlignment="1">
      <alignment horizontal="right" vertical="center" wrapText="1"/>
    </xf>
    <xf numFmtId="176" fontId="12" fillId="2" borderId="85" xfId="2" applyNumberFormat="1" applyFont="1" applyFill="1" applyBorder="1" applyAlignment="1">
      <alignment horizontal="right" vertical="center" wrapText="1"/>
    </xf>
    <xf numFmtId="176" fontId="12" fillId="2" borderId="63" xfId="2" applyNumberFormat="1" applyFont="1" applyFill="1" applyBorder="1" applyAlignment="1">
      <alignment horizontal="right" vertical="center" wrapText="1"/>
    </xf>
    <xf numFmtId="176" fontId="12" fillId="2" borderId="76" xfId="2" applyNumberFormat="1" applyFont="1" applyFill="1" applyBorder="1" applyAlignment="1">
      <alignment horizontal="right" vertical="center" wrapText="1"/>
    </xf>
    <xf numFmtId="176" fontId="12" fillId="2" borderId="32" xfId="2" applyNumberFormat="1" applyFont="1" applyFill="1" applyBorder="1" applyAlignment="1">
      <alignment horizontal="right" vertical="center" wrapText="1"/>
    </xf>
    <xf numFmtId="176" fontId="12" fillId="2" borderId="107" xfId="2" applyNumberFormat="1" applyFont="1" applyFill="1" applyBorder="1" applyAlignment="1">
      <alignment horizontal="right" vertical="center" wrapText="1"/>
    </xf>
    <xf numFmtId="176" fontId="11" fillId="2" borderId="104" xfId="1" applyNumberFormat="1" applyFont="1" applyFill="1" applyBorder="1" applyAlignment="1">
      <alignment vertical="center" wrapText="1"/>
    </xf>
    <xf numFmtId="176" fontId="11" fillId="2" borderId="147" xfId="1" applyNumberFormat="1" applyFont="1" applyFill="1" applyBorder="1" applyAlignment="1">
      <alignment horizontal="right" vertical="center" wrapText="1"/>
    </xf>
    <xf numFmtId="41" fontId="11" fillId="2" borderId="35" xfId="1" applyNumberFormat="1" applyFont="1" applyFill="1" applyBorder="1" applyAlignment="1">
      <alignment horizontal="center" vertical="center" wrapText="1"/>
    </xf>
    <xf numFmtId="41" fontId="11" fillId="2" borderId="25" xfId="1" applyNumberFormat="1" applyFont="1" applyFill="1" applyBorder="1" applyAlignment="1">
      <alignment horizontal="center" vertical="center" wrapText="1"/>
    </xf>
    <xf numFmtId="0" fontId="11" fillId="2" borderId="25" xfId="1" applyFont="1" applyFill="1" applyBorder="1" applyAlignment="1">
      <alignment horizontal="center" vertical="center" wrapText="1"/>
    </xf>
    <xf numFmtId="41" fontId="33" fillId="3" borderId="112" xfId="1" applyNumberFormat="1" applyFont="1" applyFill="1" applyBorder="1" applyAlignment="1">
      <alignment horizontal="justify" vertical="center" wrapText="1"/>
    </xf>
  </cellXfs>
  <cellStyles count="4">
    <cellStyle name="쉼표 [0]" xfId="3" builtinId="6"/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733;YWCA_&#48373;&#51648;&#49324;&#50629;&#45800;/5.%20&#48277;&#51064;&#54665;&#51221;&#49324;&#47924;/6.%20&#44208;&#49328;/2016%20&#44208;&#49328;/&#48512;&#49328;/&#52509;&#44292;&#54364;-2016&#45380;&#44208;&#49328;-&#50672;&#54633;&#54924;-1-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-최종"/>
      <sheetName val="사무국"/>
      <sheetName val="진구복지관"/>
      <sheetName val="강서복지관"/>
      <sheetName val="강서자활"/>
    </sheetNames>
    <sheetDataSet>
      <sheetData sheetId="0"/>
      <sheetData sheetId="1">
        <row r="10">
          <cell r="L10">
            <v>0</v>
          </cell>
        </row>
        <row r="12">
          <cell r="L12">
            <v>0</v>
          </cell>
        </row>
        <row r="14">
          <cell r="F14">
            <v>0</v>
          </cell>
        </row>
        <row r="15">
          <cell r="F15">
            <v>0</v>
          </cell>
          <cell r="L15">
            <v>0</v>
          </cell>
        </row>
        <row r="16">
          <cell r="F16">
            <v>0</v>
          </cell>
        </row>
        <row r="17">
          <cell r="L17">
            <v>0</v>
          </cell>
        </row>
        <row r="18">
          <cell r="F18">
            <v>0</v>
          </cell>
        </row>
        <row r="20">
          <cell r="L20">
            <v>0</v>
          </cell>
        </row>
        <row r="21">
          <cell r="F21">
            <v>0</v>
          </cell>
        </row>
        <row r="23">
          <cell r="E23"/>
          <cell r="F23"/>
          <cell r="K23"/>
          <cell r="L23"/>
        </row>
        <row r="24">
          <cell r="E24"/>
          <cell r="F24"/>
          <cell r="K24"/>
          <cell r="L24"/>
        </row>
        <row r="25">
          <cell r="E25"/>
          <cell r="F25"/>
          <cell r="K25"/>
          <cell r="L25"/>
        </row>
        <row r="26">
          <cell r="E26"/>
          <cell r="F26"/>
          <cell r="K26"/>
          <cell r="L26"/>
        </row>
        <row r="27">
          <cell r="E27"/>
          <cell r="F27"/>
          <cell r="K27"/>
          <cell r="L27"/>
        </row>
        <row r="28">
          <cell r="K28"/>
          <cell r="L28"/>
        </row>
        <row r="29">
          <cell r="E29"/>
          <cell r="F29"/>
          <cell r="G29"/>
          <cell r="K29"/>
          <cell r="L29"/>
        </row>
        <row r="30">
          <cell r="E30"/>
          <cell r="F30"/>
          <cell r="G30"/>
          <cell r="K30"/>
          <cell r="L30"/>
        </row>
        <row r="31">
          <cell r="E31"/>
          <cell r="F31"/>
          <cell r="G31"/>
          <cell r="K31"/>
          <cell r="L31"/>
        </row>
        <row r="32">
          <cell r="E32"/>
          <cell r="F32"/>
          <cell r="G32"/>
          <cell r="K32"/>
          <cell r="L32"/>
        </row>
        <row r="33">
          <cell r="E33"/>
          <cell r="F33"/>
          <cell r="K33"/>
          <cell r="L33"/>
        </row>
        <row r="34">
          <cell r="E34"/>
          <cell r="F34"/>
          <cell r="K34"/>
          <cell r="L34"/>
        </row>
        <row r="35">
          <cell r="E35"/>
          <cell r="F35"/>
          <cell r="K35"/>
          <cell r="L35"/>
        </row>
        <row r="36">
          <cell r="E36"/>
          <cell r="F36"/>
          <cell r="G36"/>
          <cell r="K36"/>
          <cell r="L36"/>
        </row>
        <row r="37">
          <cell r="E37"/>
          <cell r="F37"/>
          <cell r="G37"/>
        </row>
        <row r="38">
          <cell r="E38"/>
          <cell r="F38"/>
        </row>
        <row r="39">
          <cell r="E39"/>
          <cell r="F39"/>
          <cell r="K39"/>
          <cell r="L39"/>
        </row>
        <row r="40">
          <cell r="E40"/>
          <cell r="F40"/>
          <cell r="K40"/>
          <cell r="L40"/>
        </row>
        <row r="41">
          <cell r="E41"/>
          <cell r="F41"/>
          <cell r="K41"/>
          <cell r="L41"/>
        </row>
        <row r="42">
          <cell r="E42"/>
          <cell r="F42"/>
        </row>
        <row r="43">
          <cell r="E43"/>
          <cell r="F43"/>
        </row>
        <row r="44">
          <cell r="K44"/>
          <cell r="L44"/>
        </row>
        <row r="45">
          <cell r="E45"/>
          <cell r="F45"/>
          <cell r="K45"/>
          <cell r="L45"/>
        </row>
        <row r="46">
          <cell r="E46"/>
          <cell r="F46"/>
          <cell r="K46"/>
          <cell r="L46"/>
        </row>
        <row r="47">
          <cell r="E47"/>
          <cell r="F47"/>
          <cell r="K47"/>
          <cell r="L47"/>
        </row>
        <row r="48">
          <cell r="K48"/>
          <cell r="L48"/>
        </row>
        <row r="49">
          <cell r="E49"/>
          <cell r="F49"/>
          <cell r="K49"/>
          <cell r="L49"/>
        </row>
        <row r="50">
          <cell r="E50"/>
          <cell r="F50"/>
          <cell r="K50"/>
          <cell r="L50"/>
        </row>
        <row r="53">
          <cell r="E53">
            <v>98718000</v>
          </cell>
          <cell r="F53">
            <v>78508996</v>
          </cell>
        </row>
      </sheetData>
      <sheetData sheetId="2">
        <row r="10">
          <cell r="L10"/>
        </row>
        <row r="12">
          <cell r="L12"/>
        </row>
        <row r="14">
          <cell r="F14"/>
        </row>
        <row r="15">
          <cell r="F15"/>
          <cell r="L15"/>
        </row>
        <row r="16">
          <cell r="F16"/>
        </row>
        <row r="17">
          <cell r="L17"/>
        </row>
        <row r="18">
          <cell r="F18"/>
        </row>
        <row r="20">
          <cell r="L20"/>
        </row>
        <row r="21">
          <cell r="F21"/>
        </row>
        <row r="23">
          <cell r="E23">
            <v>566474000</v>
          </cell>
          <cell r="F23">
            <v>566368052</v>
          </cell>
          <cell r="K23">
            <v>89813000</v>
          </cell>
          <cell r="L23">
            <v>89563820</v>
          </cell>
        </row>
        <row r="24">
          <cell r="E24">
            <v>8700000</v>
          </cell>
          <cell r="F24">
            <v>8150000</v>
          </cell>
          <cell r="K24"/>
          <cell r="L24"/>
        </row>
        <row r="25">
          <cell r="E25">
            <v>72000000</v>
          </cell>
          <cell r="F25">
            <v>69979173</v>
          </cell>
          <cell r="K25">
            <v>2250000</v>
          </cell>
          <cell r="L25">
            <v>2250000</v>
          </cell>
        </row>
        <row r="26">
          <cell r="E26">
            <v>10200000</v>
          </cell>
          <cell r="F26">
            <v>9022200</v>
          </cell>
          <cell r="K26">
            <v>686100000</v>
          </cell>
          <cell r="L26">
            <v>686100000</v>
          </cell>
        </row>
        <row r="27">
          <cell r="E27">
            <v>658485000</v>
          </cell>
          <cell r="F27">
            <v>655666133</v>
          </cell>
          <cell r="K27">
            <v>1125000</v>
          </cell>
          <cell r="L27">
            <v>1125000</v>
          </cell>
        </row>
        <row r="28">
          <cell r="K28">
            <v>15000000</v>
          </cell>
          <cell r="L28">
            <v>15000000</v>
          </cell>
        </row>
        <row r="29">
          <cell r="E29"/>
          <cell r="F29"/>
          <cell r="G29">
            <v>0</v>
          </cell>
          <cell r="K29">
            <v>582901000</v>
          </cell>
          <cell r="L29">
            <v>580593809</v>
          </cell>
        </row>
        <row r="30">
          <cell r="E30"/>
          <cell r="F30"/>
          <cell r="G30">
            <v>0</v>
          </cell>
          <cell r="K30">
            <v>77100000</v>
          </cell>
          <cell r="L30">
            <v>80009380</v>
          </cell>
        </row>
        <row r="31">
          <cell r="E31"/>
          <cell r="F31"/>
          <cell r="G31">
            <v>0</v>
          </cell>
          <cell r="K31"/>
          <cell r="L31"/>
        </row>
        <row r="32">
          <cell r="E32"/>
          <cell r="F32"/>
          <cell r="G32">
            <v>0</v>
          </cell>
          <cell r="K32">
            <v>41000000</v>
          </cell>
          <cell r="L32">
            <v>41000000</v>
          </cell>
        </row>
        <row r="33">
          <cell r="E33">
            <v>267834000</v>
          </cell>
          <cell r="F33">
            <v>0</v>
          </cell>
          <cell r="K33">
            <v>87317000</v>
          </cell>
          <cell r="L33">
            <v>87317022</v>
          </cell>
        </row>
        <row r="34">
          <cell r="E34">
            <v>12063000</v>
          </cell>
          <cell r="F34">
            <v>12037002</v>
          </cell>
          <cell r="K34"/>
          <cell r="L34"/>
        </row>
        <row r="35">
          <cell r="E35"/>
          <cell r="F35"/>
          <cell r="K35"/>
          <cell r="L35"/>
        </row>
        <row r="36">
          <cell r="E36"/>
          <cell r="G36">
            <v>0</v>
          </cell>
          <cell r="K36">
            <v>13150000</v>
          </cell>
          <cell r="L36">
            <v>12143246</v>
          </cell>
        </row>
        <row r="37">
          <cell r="E37"/>
          <cell r="F37"/>
          <cell r="G37"/>
        </row>
        <row r="38">
          <cell r="E38"/>
          <cell r="F38">
            <v>273879717</v>
          </cell>
        </row>
        <row r="39">
          <cell r="E39">
            <v>1595756000</v>
          </cell>
          <cell r="F39">
            <v>1595102277</v>
          </cell>
          <cell r="K39">
            <v>1595756000</v>
          </cell>
          <cell r="L39">
            <v>1595102277</v>
          </cell>
        </row>
        <row r="40">
          <cell r="E40">
            <v>511389000</v>
          </cell>
          <cell r="F40">
            <v>504984470</v>
          </cell>
          <cell r="K40">
            <v>22560000</v>
          </cell>
          <cell r="L40">
            <v>22560000</v>
          </cell>
        </row>
        <row r="41">
          <cell r="E41"/>
          <cell r="F41"/>
          <cell r="K41">
            <v>341684000</v>
          </cell>
          <cell r="L41">
            <v>332892790</v>
          </cell>
        </row>
        <row r="42">
          <cell r="E42">
            <v>32801000</v>
          </cell>
          <cell r="F42">
            <v>31662186</v>
          </cell>
        </row>
        <row r="43">
          <cell r="E43">
            <v>2035000</v>
          </cell>
          <cell r="F43">
            <v>2035000</v>
          </cell>
        </row>
        <row r="44">
          <cell r="K44">
            <v>716911000</v>
          </cell>
          <cell r="L44">
            <v>716910060</v>
          </cell>
        </row>
        <row r="45">
          <cell r="E45">
            <v>537578000</v>
          </cell>
          <cell r="F45">
            <v>535713943</v>
          </cell>
          <cell r="K45">
            <v>12322000</v>
          </cell>
          <cell r="L45">
            <v>11719993</v>
          </cell>
        </row>
        <row r="46">
          <cell r="E46">
            <v>16000000</v>
          </cell>
          <cell r="F46">
            <v>16000000</v>
          </cell>
          <cell r="K46"/>
          <cell r="L46"/>
        </row>
        <row r="47">
          <cell r="E47"/>
          <cell r="F47"/>
          <cell r="K47"/>
          <cell r="L47"/>
        </row>
        <row r="48">
          <cell r="K48"/>
          <cell r="L48"/>
        </row>
        <row r="49">
          <cell r="E49">
            <v>234000</v>
          </cell>
          <cell r="F49">
            <v>231177</v>
          </cell>
          <cell r="K49">
            <v>69674000</v>
          </cell>
          <cell r="L49">
            <v>69674212</v>
          </cell>
        </row>
        <row r="50">
          <cell r="E50">
            <v>63373000</v>
          </cell>
          <cell r="F50">
            <v>0</v>
          </cell>
          <cell r="K50">
            <v>259000</v>
          </cell>
          <cell r="L50">
            <v>182569</v>
          </cell>
        </row>
        <row r="53">
          <cell r="E53">
            <v>2759166000</v>
          </cell>
          <cell r="F53">
            <v>2749041901</v>
          </cell>
        </row>
      </sheetData>
      <sheetData sheetId="3">
        <row r="10">
          <cell r="L10"/>
        </row>
        <row r="12">
          <cell r="L12"/>
        </row>
        <row r="14">
          <cell r="F14"/>
        </row>
        <row r="15">
          <cell r="F15"/>
          <cell r="L15"/>
        </row>
        <row r="16">
          <cell r="F16"/>
        </row>
        <row r="17">
          <cell r="L17"/>
        </row>
        <row r="18">
          <cell r="F18"/>
        </row>
        <row r="20">
          <cell r="L20"/>
        </row>
        <row r="21">
          <cell r="F21"/>
        </row>
        <row r="23">
          <cell r="E23">
            <v>525695460</v>
          </cell>
          <cell r="F23">
            <v>524562950</v>
          </cell>
          <cell r="K23">
            <v>36842230</v>
          </cell>
          <cell r="L23">
            <v>39378136</v>
          </cell>
        </row>
        <row r="24">
          <cell r="E24">
            <v>5561570</v>
          </cell>
          <cell r="F24">
            <v>5077670</v>
          </cell>
          <cell r="K24">
            <v>856772</v>
          </cell>
          <cell r="L24">
            <v>856772</v>
          </cell>
        </row>
        <row r="25">
          <cell r="E25">
            <v>66563670</v>
          </cell>
          <cell r="F25">
            <v>62180305</v>
          </cell>
          <cell r="K25"/>
          <cell r="L25"/>
        </row>
        <row r="26">
          <cell r="E26">
            <v>262527100</v>
          </cell>
          <cell r="F26">
            <v>255047810</v>
          </cell>
          <cell r="K26">
            <v>583240000</v>
          </cell>
          <cell r="L26">
            <v>583240000</v>
          </cell>
        </row>
        <row r="27">
          <cell r="E27">
            <v>782941725</v>
          </cell>
          <cell r="F27">
            <v>761130096</v>
          </cell>
          <cell r="K27">
            <v>581219000</v>
          </cell>
          <cell r="L27">
            <v>578033210</v>
          </cell>
        </row>
        <row r="28">
          <cell r="K28">
            <v>28100000</v>
          </cell>
          <cell r="L28">
            <v>28100000</v>
          </cell>
        </row>
        <row r="29">
          <cell r="E29"/>
          <cell r="F29"/>
          <cell r="G29">
            <v>0</v>
          </cell>
          <cell r="K29">
            <v>268887210</v>
          </cell>
          <cell r="L29">
            <v>262979320</v>
          </cell>
        </row>
        <row r="30">
          <cell r="E30"/>
          <cell r="F30"/>
          <cell r="G30">
            <v>0</v>
          </cell>
          <cell r="K30">
            <v>100000000</v>
          </cell>
          <cell r="L30">
            <v>109249740</v>
          </cell>
        </row>
        <row r="31">
          <cell r="E31"/>
          <cell r="F31"/>
          <cell r="G31">
            <v>0</v>
          </cell>
          <cell r="K31"/>
          <cell r="L31"/>
        </row>
        <row r="32">
          <cell r="E32">
            <v>112380</v>
          </cell>
          <cell r="F32">
            <v>112380</v>
          </cell>
          <cell r="G32">
            <v>0</v>
          </cell>
          <cell r="K32">
            <v>29000000</v>
          </cell>
          <cell r="L32">
            <v>29000000</v>
          </cell>
        </row>
        <row r="33">
          <cell r="E33">
            <v>143720497</v>
          </cell>
          <cell r="F33">
            <v>0</v>
          </cell>
          <cell r="K33">
            <v>165322603</v>
          </cell>
          <cell r="L33">
            <v>165322603</v>
          </cell>
        </row>
        <row r="34">
          <cell r="E34">
            <v>16365663</v>
          </cell>
          <cell r="F34">
            <v>1786897</v>
          </cell>
          <cell r="K34"/>
          <cell r="L34"/>
        </row>
        <row r="35">
          <cell r="E35"/>
          <cell r="F35"/>
          <cell r="K35"/>
          <cell r="L35"/>
        </row>
        <row r="36">
          <cell r="E36"/>
          <cell r="G36">
            <v>0</v>
          </cell>
          <cell r="K36">
            <v>10020250</v>
          </cell>
          <cell r="L36">
            <v>10331425</v>
          </cell>
        </row>
        <row r="37">
          <cell r="E37"/>
          <cell r="F37"/>
          <cell r="G37">
            <v>0</v>
          </cell>
        </row>
        <row r="38">
          <cell r="E38">
            <v>0</v>
          </cell>
          <cell r="F38">
            <v>196593098</v>
          </cell>
        </row>
        <row r="39">
          <cell r="E39">
            <v>1803488065</v>
          </cell>
          <cell r="F39">
            <v>1806491206</v>
          </cell>
          <cell r="K39">
            <v>1803488065</v>
          </cell>
          <cell r="L39">
            <v>1806491206</v>
          </cell>
        </row>
        <row r="40">
          <cell r="E40">
            <v>352045795</v>
          </cell>
          <cell r="F40">
            <v>351333085</v>
          </cell>
          <cell r="K40"/>
          <cell r="L40"/>
        </row>
        <row r="41">
          <cell r="E41">
            <v>120000</v>
          </cell>
          <cell r="F41">
            <v>120000</v>
          </cell>
          <cell r="K41">
            <v>110204500</v>
          </cell>
          <cell r="L41">
            <v>113809376</v>
          </cell>
        </row>
        <row r="42">
          <cell r="E42">
            <v>26618858</v>
          </cell>
          <cell r="F42">
            <v>26618858</v>
          </cell>
        </row>
        <row r="43">
          <cell r="E43">
            <v>4630000</v>
          </cell>
          <cell r="F43">
            <v>4630000</v>
          </cell>
        </row>
        <row r="44">
          <cell r="K44">
            <v>397846940</v>
          </cell>
          <cell r="L44">
            <v>393750940</v>
          </cell>
        </row>
        <row r="45">
          <cell r="E45">
            <v>114950722</v>
          </cell>
          <cell r="F45">
            <v>110427432</v>
          </cell>
          <cell r="K45">
            <v>12422000</v>
          </cell>
          <cell r="L45">
            <v>16822000</v>
          </cell>
        </row>
        <row r="46">
          <cell r="E46">
            <v>21000000</v>
          </cell>
          <cell r="F46">
            <v>21000000</v>
          </cell>
          <cell r="K46">
            <v>1320020</v>
          </cell>
          <cell r="L46">
            <v>1320020</v>
          </cell>
        </row>
        <row r="47">
          <cell r="E47"/>
          <cell r="F47"/>
          <cell r="K47"/>
          <cell r="L47"/>
        </row>
        <row r="48">
          <cell r="K48"/>
          <cell r="L48"/>
        </row>
        <row r="49">
          <cell r="E49">
            <v>5810927</v>
          </cell>
          <cell r="F49">
            <v>4990176</v>
          </cell>
          <cell r="K49">
            <v>8932379</v>
          </cell>
          <cell r="L49">
            <v>8932379</v>
          </cell>
        </row>
        <row r="50">
          <cell r="E50">
            <v>8344481</v>
          </cell>
          <cell r="F50">
            <v>0</v>
          </cell>
          <cell r="K50">
            <v>2794944</v>
          </cell>
          <cell r="L50">
            <v>2714646</v>
          </cell>
        </row>
        <row r="53">
          <cell r="E53">
            <v>2337008848</v>
          </cell>
          <cell r="F53">
            <v>2343840567</v>
          </cell>
        </row>
      </sheetData>
      <sheetData sheetId="4">
        <row r="10">
          <cell r="L10"/>
        </row>
        <row r="12">
          <cell r="L12"/>
        </row>
        <row r="14">
          <cell r="F14"/>
        </row>
        <row r="15">
          <cell r="F15"/>
          <cell r="L15"/>
        </row>
        <row r="16">
          <cell r="F16"/>
        </row>
        <row r="17">
          <cell r="L17"/>
        </row>
        <row r="18">
          <cell r="F18"/>
        </row>
        <row r="20">
          <cell r="L20"/>
        </row>
        <row r="21">
          <cell r="F21"/>
        </row>
        <row r="23">
          <cell r="E23">
            <v>233493570</v>
          </cell>
          <cell r="F23">
            <v>231678670</v>
          </cell>
          <cell r="K23">
            <v>914070000</v>
          </cell>
          <cell r="L23">
            <v>857240708</v>
          </cell>
        </row>
        <row r="24">
          <cell r="E24">
            <v>1000000</v>
          </cell>
          <cell r="F24">
            <v>556790</v>
          </cell>
          <cell r="K24"/>
          <cell r="L24"/>
        </row>
        <row r="25">
          <cell r="E25">
            <v>19371400</v>
          </cell>
          <cell r="F25">
            <v>17015350</v>
          </cell>
          <cell r="K25">
            <v>876961000</v>
          </cell>
          <cell r="L25">
            <v>876961000</v>
          </cell>
        </row>
        <row r="26">
          <cell r="E26">
            <v>1100000</v>
          </cell>
          <cell r="F26">
            <v>1000000</v>
          </cell>
          <cell r="K26">
            <v>101034000</v>
          </cell>
          <cell r="L26">
            <v>101034000</v>
          </cell>
        </row>
        <row r="27">
          <cell r="E27">
            <v>2012182420</v>
          </cell>
          <cell r="F27">
            <v>1676503564</v>
          </cell>
          <cell r="K27">
            <v>57635000</v>
          </cell>
          <cell r="L27">
            <v>57635000</v>
          </cell>
        </row>
        <row r="28">
          <cell r="K28">
            <v>63000000</v>
          </cell>
          <cell r="L28">
            <v>45000000</v>
          </cell>
        </row>
        <row r="29">
          <cell r="E29">
            <v>20000000</v>
          </cell>
          <cell r="F29">
            <v>20000000</v>
          </cell>
          <cell r="G29">
            <v>0</v>
          </cell>
          <cell r="K29">
            <v>0</v>
          </cell>
          <cell r="L29">
            <v>0</v>
          </cell>
        </row>
        <row r="30">
          <cell r="E30"/>
          <cell r="F30"/>
          <cell r="G30">
            <v>0</v>
          </cell>
          <cell r="K30">
            <v>8500000</v>
          </cell>
          <cell r="L30">
            <v>8110700</v>
          </cell>
        </row>
        <row r="31">
          <cell r="E31"/>
          <cell r="F31"/>
          <cell r="G31">
            <v>0</v>
          </cell>
          <cell r="K31"/>
          <cell r="L31"/>
        </row>
        <row r="32">
          <cell r="E32"/>
          <cell r="F32"/>
          <cell r="G32">
            <v>0</v>
          </cell>
          <cell r="K32">
            <v>20000000</v>
          </cell>
          <cell r="L32">
            <v>20000000</v>
          </cell>
        </row>
        <row r="33">
          <cell r="E33">
            <v>122440000</v>
          </cell>
          <cell r="F33">
            <v>119423182</v>
          </cell>
          <cell r="K33">
            <v>366804054</v>
          </cell>
          <cell r="L33">
            <v>366804054</v>
          </cell>
        </row>
        <row r="34">
          <cell r="E34"/>
          <cell r="F34"/>
        </row>
        <row r="35">
          <cell r="E35"/>
          <cell r="F35"/>
          <cell r="K35"/>
          <cell r="L35"/>
        </row>
        <row r="36">
          <cell r="E36"/>
          <cell r="G36">
            <v>0</v>
          </cell>
          <cell r="K36">
            <v>1583336</v>
          </cell>
          <cell r="L36">
            <v>1603028</v>
          </cell>
        </row>
        <row r="37">
          <cell r="E37"/>
          <cell r="F37"/>
          <cell r="G37">
            <v>0</v>
          </cell>
        </row>
        <row r="38">
          <cell r="E38">
            <v>0</v>
          </cell>
          <cell r="F38">
            <v>268210934</v>
          </cell>
        </row>
        <row r="39">
          <cell r="E39">
            <v>2409587390</v>
          </cell>
          <cell r="F39">
            <v>2334388490</v>
          </cell>
          <cell r="K39">
            <v>2409587390</v>
          </cell>
          <cell r="L39">
            <v>2334388490</v>
          </cell>
        </row>
        <row r="40">
          <cell r="E40"/>
          <cell r="F40"/>
          <cell r="K40"/>
          <cell r="L40"/>
        </row>
        <row r="41">
          <cell r="E41"/>
          <cell r="F41"/>
          <cell r="K41"/>
          <cell r="L41"/>
        </row>
        <row r="42">
          <cell r="E42"/>
          <cell r="F42"/>
        </row>
        <row r="43">
          <cell r="E43"/>
          <cell r="F43"/>
        </row>
        <row r="44">
          <cell r="K44"/>
          <cell r="L44"/>
        </row>
        <row r="45">
          <cell r="E45"/>
          <cell r="F45"/>
          <cell r="K45"/>
          <cell r="L45"/>
        </row>
        <row r="46">
          <cell r="E46"/>
          <cell r="F46"/>
          <cell r="K46"/>
          <cell r="L46"/>
        </row>
        <row r="47">
          <cell r="E47"/>
          <cell r="F47"/>
          <cell r="K47"/>
          <cell r="L47"/>
        </row>
        <row r="48">
          <cell r="K48"/>
          <cell r="L48"/>
        </row>
        <row r="49">
          <cell r="E49"/>
          <cell r="F49"/>
          <cell r="K49"/>
          <cell r="L49"/>
        </row>
        <row r="50">
          <cell r="E50"/>
          <cell r="F50"/>
          <cell r="K50"/>
          <cell r="L50"/>
        </row>
        <row r="53">
          <cell r="E53">
            <v>2409587390</v>
          </cell>
          <cell r="F53">
            <v>2334388490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8"/>
  <sheetViews>
    <sheetView tabSelected="1" view="pageBreakPreview" zoomScaleNormal="100" zoomScaleSheetLayoutView="100" workbookViewId="0">
      <selection activeCell="A3" sqref="A3:M3"/>
    </sheetView>
  </sheetViews>
  <sheetFormatPr defaultRowHeight="16.5"/>
  <cols>
    <col min="1" max="1" width="5" style="1" bestFit="1" customWidth="1"/>
    <col min="2" max="2" width="11.25" style="1" customWidth="1"/>
    <col min="3" max="4" width="16.25" style="1" customWidth="1"/>
    <col min="5" max="5" width="15.25" style="1" bestFit="1" customWidth="1"/>
    <col min="6" max="6" width="15" style="1" bestFit="1" customWidth="1"/>
    <col min="7" max="7" width="13.625" style="1" bestFit="1" customWidth="1"/>
    <col min="8" max="8" width="16.5" style="1" customWidth="1"/>
    <col min="9" max="10" width="16.25" style="1" customWidth="1"/>
    <col min="11" max="11" width="15.25" style="1" bestFit="1" customWidth="1"/>
    <col min="12" max="12" width="15.625" style="1" bestFit="1" customWidth="1"/>
    <col min="13" max="13" width="14.125" style="1" bestFit="1" customWidth="1"/>
    <col min="14" max="256" width="9" style="1"/>
    <col min="257" max="257" width="5" style="1" bestFit="1" customWidth="1"/>
    <col min="258" max="258" width="11.25" style="1" customWidth="1"/>
    <col min="259" max="260" width="16.25" style="1" customWidth="1"/>
    <col min="261" max="261" width="15.25" style="1" bestFit="1" customWidth="1"/>
    <col min="262" max="262" width="15" style="1" bestFit="1" customWidth="1"/>
    <col min="263" max="263" width="13.625" style="1" bestFit="1" customWidth="1"/>
    <col min="264" max="264" width="16.5" style="1" customWidth="1"/>
    <col min="265" max="266" width="16.25" style="1" customWidth="1"/>
    <col min="267" max="267" width="15.25" style="1" bestFit="1" customWidth="1"/>
    <col min="268" max="268" width="15" style="1" bestFit="1" customWidth="1"/>
    <col min="269" max="269" width="14.125" style="1" bestFit="1" customWidth="1"/>
    <col min="270" max="512" width="9" style="1"/>
    <col min="513" max="513" width="5" style="1" bestFit="1" customWidth="1"/>
    <col min="514" max="514" width="11.25" style="1" customWidth="1"/>
    <col min="515" max="516" width="16.25" style="1" customWidth="1"/>
    <col min="517" max="517" width="15.25" style="1" bestFit="1" customWidth="1"/>
    <col min="518" max="518" width="15" style="1" bestFit="1" customWidth="1"/>
    <col min="519" max="519" width="13.625" style="1" bestFit="1" customWidth="1"/>
    <col min="520" max="520" width="16.5" style="1" customWidth="1"/>
    <col min="521" max="522" width="16.25" style="1" customWidth="1"/>
    <col min="523" max="523" width="15.25" style="1" bestFit="1" customWidth="1"/>
    <col min="524" max="524" width="15" style="1" bestFit="1" customWidth="1"/>
    <col min="525" max="525" width="14.125" style="1" bestFit="1" customWidth="1"/>
    <col min="526" max="768" width="9" style="1"/>
    <col min="769" max="769" width="5" style="1" bestFit="1" customWidth="1"/>
    <col min="770" max="770" width="11.25" style="1" customWidth="1"/>
    <col min="771" max="772" width="16.25" style="1" customWidth="1"/>
    <col min="773" max="773" width="15.25" style="1" bestFit="1" customWidth="1"/>
    <col min="774" max="774" width="15" style="1" bestFit="1" customWidth="1"/>
    <col min="775" max="775" width="13.625" style="1" bestFit="1" customWidth="1"/>
    <col min="776" max="776" width="16.5" style="1" customWidth="1"/>
    <col min="777" max="778" width="16.25" style="1" customWidth="1"/>
    <col min="779" max="779" width="15.25" style="1" bestFit="1" customWidth="1"/>
    <col min="780" max="780" width="15" style="1" bestFit="1" customWidth="1"/>
    <col min="781" max="781" width="14.125" style="1" bestFit="1" customWidth="1"/>
    <col min="782" max="1024" width="9" style="1"/>
    <col min="1025" max="1025" width="5" style="1" bestFit="1" customWidth="1"/>
    <col min="1026" max="1026" width="11.25" style="1" customWidth="1"/>
    <col min="1027" max="1028" width="16.25" style="1" customWidth="1"/>
    <col min="1029" max="1029" width="15.25" style="1" bestFit="1" customWidth="1"/>
    <col min="1030" max="1030" width="15" style="1" bestFit="1" customWidth="1"/>
    <col min="1031" max="1031" width="13.625" style="1" bestFit="1" customWidth="1"/>
    <col min="1032" max="1032" width="16.5" style="1" customWidth="1"/>
    <col min="1033" max="1034" width="16.25" style="1" customWidth="1"/>
    <col min="1035" max="1035" width="15.25" style="1" bestFit="1" customWidth="1"/>
    <col min="1036" max="1036" width="15" style="1" bestFit="1" customWidth="1"/>
    <col min="1037" max="1037" width="14.125" style="1" bestFit="1" customWidth="1"/>
    <col min="1038" max="1280" width="9" style="1"/>
    <col min="1281" max="1281" width="5" style="1" bestFit="1" customWidth="1"/>
    <col min="1282" max="1282" width="11.25" style="1" customWidth="1"/>
    <col min="1283" max="1284" width="16.25" style="1" customWidth="1"/>
    <col min="1285" max="1285" width="15.25" style="1" bestFit="1" customWidth="1"/>
    <col min="1286" max="1286" width="15" style="1" bestFit="1" customWidth="1"/>
    <col min="1287" max="1287" width="13.625" style="1" bestFit="1" customWidth="1"/>
    <col min="1288" max="1288" width="16.5" style="1" customWidth="1"/>
    <col min="1289" max="1290" width="16.25" style="1" customWidth="1"/>
    <col min="1291" max="1291" width="15.25" style="1" bestFit="1" customWidth="1"/>
    <col min="1292" max="1292" width="15" style="1" bestFit="1" customWidth="1"/>
    <col min="1293" max="1293" width="14.125" style="1" bestFit="1" customWidth="1"/>
    <col min="1294" max="1536" width="9" style="1"/>
    <col min="1537" max="1537" width="5" style="1" bestFit="1" customWidth="1"/>
    <col min="1538" max="1538" width="11.25" style="1" customWidth="1"/>
    <col min="1539" max="1540" width="16.25" style="1" customWidth="1"/>
    <col min="1541" max="1541" width="15.25" style="1" bestFit="1" customWidth="1"/>
    <col min="1542" max="1542" width="15" style="1" bestFit="1" customWidth="1"/>
    <col min="1543" max="1543" width="13.625" style="1" bestFit="1" customWidth="1"/>
    <col min="1544" max="1544" width="16.5" style="1" customWidth="1"/>
    <col min="1545" max="1546" width="16.25" style="1" customWidth="1"/>
    <col min="1547" max="1547" width="15.25" style="1" bestFit="1" customWidth="1"/>
    <col min="1548" max="1548" width="15" style="1" bestFit="1" customWidth="1"/>
    <col min="1549" max="1549" width="14.125" style="1" bestFit="1" customWidth="1"/>
    <col min="1550" max="1792" width="9" style="1"/>
    <col min="1793" max="1793" width="5" style="1" bestFit="1" customWidth="1"/>
    <col min="1794" max="1794" width="11.25" style="1" customWidth="1"/>
    <col min="1795" max="1796" width="16.25" style="1" customWidth="1"/>
    <col min="1797" max="1797" width="15.25" style="1" bestFit="1" customWidth="1"/>
    <col min="1798" max="1798" width="15" style="1" bestFit="1" customWidth="1"/>
    <col min="1799" max="1799" width="13.625" style="1" bestFit="1" customWidth="1"/>
    <col min="1800" max="1800" width="16.5" style="1" customWidth="1"/>
    <col min="1801" max="1802" width="16.25" style="1" customWidth="1"/>
    <col min="1803" max="1803" width="15.25" style="1" bestFit="1" customWidth="1"/>
    <col min="1804" max="1804" width="15" style="1" bestFit="1" customWidth="1"/>
    <col min="1805" max="1805" width="14.125" style="1" bestFit="1" customWidth="1"/>
    <col min="1806" max="2048" width="9" style="1"/>
    <col min="2049" max="2049" width="5" style="1" bestFit="1" customWidth="1"/>
    <col min="2050" max="2050" width="11.25" style="1" customWidth="1"/>
    <col min="2051" max="2052" width="16.25" style="1" customWidth="1"/>
    <col min="2053" max="2053" width="15.25" style="1" bestFit="1" customWidth="1"/>
    <col min="2054" max="2054" width="15" style="1" bestFit="1" customWidth="1"/>
    <col min="2055" max="2055" width="13.625" style="1" bestFit="1" customWidth="1"/>
    <col min="2056" max="2056" width="16.5" style="1" customWidth="1"/>
    <col min="2057" max="2058" width="16.25" style="1" customWidth="1"/>
    <col min="2059" max="2059" width="15.25" style="1" bestFit="1" customWidth="1"/>
    <col min="2060" max="2060" width="15" style="1" bestFit="1" customWidth="1"/>
    <col min="2061" max="2061" width="14.125" style="1" bestFit="1" customWidth="1"/>
    <col min="2062" max="2304" width="9" style="1"/>
    <col min="2305" max="2305" width="5" style="1" bestFit="1" customWidth="1"/>
    <col min="2306" max="2306" width="11.25" style="1" customWidth="1"/>
    <col min="2307" max="2308" width="16.25" style="1" customWidth="1"/>
    <col min="2309" max="2309" width="15.25" style="1" bestFit="1" customWidth="1"/>
    <col min="2310" max="2310" width="15" style="1" bestFit="1" customWidth="1"/>
    <col min="2311" max="2311" width="13.625" style="1" bestFit="1" customWidth="1"/>
    <col min="2312" max="2312" width="16.5" style="1" customWidth="1"/>
    <col min="2313" max="2314" width="16.25" style="1" customWidth="1"/>
    <col min="2315" max="2315" width="15.25" style="1" bestFit="1" customWidth="1"/>
    <col min="2316" max="2316" width="15" style="1" bestFit="1" customWidth="1"/>
    <col min="2317" max="2317" width="14.125" style="1" bestFit="1" customWidth="1"/>
    <col min="2318" max="2560" width="9" style="1"/>
    <col min="2561" max="2561" width="5" style="1" bestFit="1" customWidth="1"/>
    <col min="2562" max="2562" width="11.25" style="1" customWidth="1"/>
    <col min="2563" max="2564" width="16.25" style="1" customWidth="1"/>
    <col min="2565" max="2565" width="15.25" style="1" bestFit="1" customWidth="1"/>
    <col min="2566" max="2566" width="15" style="1" bestFit="1" customWidth="1"/>
    <col min="2567" max="2567" width="13.625" style="1" bestFit="1" customWidth="1"/>
    <col min="2568" max="2568" width="16.5" style="1" customWidth="1"/>
    <col min="2569" max="2570" width="16.25" style="1" customWidth="1"/>
    <col min="2571" max="2571" width="15.25" style="1" bestFit="1" customWidth="1"/>
    <col min="2572" max="2572" width="15" style="1" bestFit="1" customWidth="1"/>
    <col min="2573" max="2573" width="14.125" style="1" bestFit="1" customWidth="1"/>
    <col min="2574" max="2816" width="9" style="1"/>
    <col min="2817" max="2817" width="5" style="1" bestFit="1" customWidth="1"/>
    <col min="2818" max="2818" width="11.25" style="1" customWidth="1"/>
    <col min="2819" max="2820" width="16.25" style="1" customWidth="1"/>
    <col min="2821" max="2821" width="15.25" style="1" bestFit="1" customWidth="1"/>
    <col min="2822" max="2822" width="15" style="1" bestFit="1" customWidth="1"/>
    <col min="2823" max="2823" width="13.625" style="1" bestFit="1" customWidth="1"/>
    <col min="2824" max="2824" width="16.5" style="1" customWidth="1"/>
    <col min="2825" max="2826" width="16.25" style="1" customWidth="1"/>
    <col min="2827" max="2827" width="15.25" style="1" bestFit="1" customWidth="1"/>
    <col min="2828" max="2828" width="15" style="1" bestFit="1" customWidth="1"/>
    <col min="2829" max="2829" width="14.125" style="1" bestFit="1" customWidth="1"/>
    <col min="2830" max="3072" width="9" style="1"/>
    <col min="3073" max="3073" width="5" style="1" bestFit="1" customWidth="1"/>
    <col min="3074" max="3074" width="11.25" style="1" customWidth="1"/>
    <col min="3075" max="3076" width="16.25" style="1" customWidth="1"/>
    <col min="3077" max="3077" width="15.25" style="1" bestFit="1" customWidth="1"/>
    <col min="3078" max="3078" width="15" style="1" bestFit="1" customWidth="1"/>
    <col min="3079" max="3079" width="13.625" style="1" bestFit="1" customWidth="1"/>
    <col min="3080" max="3080" width="16.5" style="1" customWidth="1"/>
    <col min="3081" max="3082" width="16.25" style="1" customWidth="1"/>
    <col min="3083" max="3083" width="15.25" style="1" bestFit="1" customWidth="1"/>
    <col min="3084" max="3084" width="15" style="1" bestFit="1" customWidth="1"/>
    <col min="3085" max="3085" width="14.125" style="1" bestFit="1" customWidth="1"/>
    <col min="3086" max="3328" width="9" style="1"/>
    <col min="3329" max="3329" width="5" style="1" bestFit="1" customWidth="1"/>
    <col min="3330" max="3330" width="11.25" style="1" customWidth="1"/>
    <col min="3331" max="3332" width="16.25" style="1" customWidth="1"/>
    <col min="3333" max="3333" width="15.25" style="1" bestFit="1" customWidth="1"/>
    <col min="3334" max="3334" width="15" style="1" bestFit="1" customWidth="1"/>
    <col min="3335" max="3335" width="13.625" style="1" bestFit="1" customWidth="1"/>
    <col min="3336" max="3336" width="16.5" style="1" customWidth="1"/>
    <col min="3337" max="3338" width="16.25" style="1" customWidth="1"/>
    <col min="3339" max="3339" width="15.25" style="1" bestFit="1" customWidth="1"/>
    <col min="3340" max="3340" width="15" style="1" bestFit="1" customWidth="1"/>
    <col min="3341" max="3341" width="14.125" style="1" bestFit="1" customWidth="1"/>
    <col min="3342" max="3584" width="9" style="1"/>
    <col min="3585" max="3585" width="5" style="1" bestFit="1" customWidth="1"/>
    <col min="3586" max="3586" width="11.25" style="1" customWidth="1"/>
    <col min="3587" max="3588" width="16.25" style="1" customWidth="1"/>
    <col min="3589" max="3589" width="15.25" style="1" bestFit="1" customWidth="1"/>
    <col min="3590" max="3590" width="15" style="1" bestFit="1" customWidth="1"/>
    <col min="3591" max="3591" width="13.625" style="1" bestFit="1" customWidth="1"/>
    <col min="3592" max="3592" width="16.5" style="1" customWidth="1"/>
    <col min="3593" max="3594" width="16.25" style="1" customWidth="1"/>
    <col min="3595" max="3595" width="15.25" style="1" bestFit="1" customWidth="1"/>
    <col min="3596" max="3596" width="15" style="1" bestFit="1" customWidth="1"/>
    <col min="3597" max="3597" width="14.125" style="1" bestFit="1" customWidth="1"/>
    <col min="3598" max="3840" width="9" style="1"/>
    <col min="3841" max="3841" width="5" style="1" bestFit="1" customWidth="1"/>
    <col min="3842" max="3842" width="11.25" style="1" customWidth="1"/>
    <col min="3843" max="3844" width="16.25" style="1" customWidth="1"/>
    <col min="3845" max="3845" width="15.25" style="1" bestFit="1" customWidth="1"/>
    <col min="3846" max="3846" width="15" style="1" bestFit="1" customWidth="1"/>
    <col min="3847" max="3847" width="13.625" style="1" bestFit="1" customWidth="1"/>
    <col min="3848" max="3848" width="16.5" style="1" customWidth="1"/>
    <col min="3849" max="3850" width="16.25" style="1" customWidth="1"/>
    <col min="3851" max="3851" width="15.25" style="1" bestFit="1" customWidth="1"/>
    <col min="3852" max="3852" width="15" style="1" bestFit="1" customWidth="1"/>
    <col min="3853" max="3853" width="14.125" style="1" bestFit="1" customWidth="1"/>
    <col min="3854" max="4096" width="9" style="1"/>
    <col min="4097" max="4097" width="5" style="1" bestFit="1" customWidth="1"/>
    <col min="4098" max="4098" width="11.25" style="1" customWidth="1"/>
    <col min="4099" max="4100" width="16.25" style="1" customWidth="1"/>
    <col min="4101" max="4101" width="15.25" style="1" bestFit="1" customWidth="1"/>
    <col min="4102" max="4102" width="15" style="1" bestFit="1" customWidth="1"/>
    <col min="4103" max="4103" width="13.625" style="1" bestFit="1" customWidth="1"/>
    <col min="4104" max="4104" width="16.5" style="1" customWidth="1"/>
    <col min="4105" max="4106" width="16.25" style="1" customWidth="1"/>
    <col min="4107" max="4107" width="15.25" style="1" bestFit="1" customWidth="1"/>
    <col min="4108" max="4108" width="15" style="1" bestFit="1" customWidth="1"/>
    <col min="4109" max="4109" width="14.125" style="1" bestFit="1" customWidth="1"/>
    <col min="4110" max="4352" width="9" style="1"/>
    <col min="4353" max="4353" width="5" style="1" bestFit="1" customWidth="1"/>
    <col min="4354" max="4354" width="11.25" style="1" customWidth="1"/>
    <col min="4355" max="4356" width="16.25" style="1" customWidth="1"/>
    <col min="4357" max="4357" width="15.25" style="1" bestFit="1" customWidth="1"/>
    <col min="4358" max="4358" width="15" style="1" bestFit="1" customWidth="1"/>
    <col min="4359" max="4359" width="13.625" style="1" bestFit="1" customWidth="1"/>
    <col min="4360" max="4360" width="16.5" style="1" customWidth="1"/>
    <col min="4361" max="4362" width="16.25" style="1" customWidth="1"/>
    <col min="4363" max="4363" width="15.25" style="1" bestFit="1" customWidth="1"/>
    <col min="4364" max="4364" width="15" style="1" bestFit="1" customWidth="1"/>
    <col min="4365" max="4365" width="14.125" style="1" bestFit="1" customWidth="1"/>
    <col min="4366" max="4608" width="9" style="1"/>
    <col min="4609" max="4609" width="5" style="1" bestFit="1" customWidth="1"/>
    <col min="4610" max="4610" width="11.25" style="1" customWidth="1"/>
    <col min="4611" max="4612" width="16.25" style="1" customWidth="1"/>
    <col min="4613" max="4613" width="15.25" style="1" bestFit="1" customWidth="1"/>
    <col min="4614" max="4614" width="15" style="1" bestFit="1" customWidth="1"/>
    <col min="4615" max="4615" width="13.625" style="1" bestFit="1" customWidth="1"/>
    <col min="4616" max="4616" width="16.5" style="1" customWidth="1"/>
    <col min="4617" max="4618" width="16.25" style="1" customWidth="1"/>
    <col min="4619" max="4619" width="15.25" style="1" bestFit="1" customWidth="1"/>
    <col min="4620" max="4620" width="15" style="1" bestFit="1" customWidth="1"/>
    <col min="4621" max="4621" width="14.125" style="1" bestFit="1" customWidth="1"/>
    <col min="4622" max="4864" width="9" style="1"/>
    <col min="4865" max="4865" width="5" style="1" bestFit="1" customWidth="1"/>
    <col min="4866" max="4866" width="11.25" style="1" customWidth="1"/>
    <col min="4867" max="4868" width="16.25" style="1" customWidth="1"/>
    <col min="4869" max="4869" width="15.25" style="1" bestFit="1" customWidth="1"/>
    <col min="4870" max="4870" width="15" style="1" bestFit="1" customWidth="1"/>
    <col min="4871" max="4871" width="13.625" style="1" bestFit="1" customWidth="1"/>
    <col min="4872" max="4872" width="16.5" style="1" customWidth="1"/>
    <col min="4873" max="4874" width="16.25" style="1" customWidth="1"/>
    <col min="4875" max="4875" width="15.25" style="1" bestFit="1" customWidth="1"/>
    <col min="4876" max="4876" width="15" style="1" bestFit="1" customWidth="1"/>
    <col min="4877" max="4877" width="14.125" style="1" bestFit="1" customWidth="1"/>
    <col min="4878" max="5120" width="9" style="1"/>
    <col min="5121" max="5121" width="5" style="1" bestFit="1" customWidth="1"/>
    <col min="5122" max="5122" width="11.25" style="1" customWidth="1"/>
    <col min="5123" max="5124" width="16.25" style="1" customWidth="1"/>
    <col min="5125" max="5125" width="15.25" style="1" bestFit="1" customWidth="1"/>
    <col min="5126" max="5126" width="15" style="1" bestFit="1" customWidth="1"/>
    <col min="5127" max="5127" width="13.625" style="1" bestFit="1" customWidth="1"/>
    <col min="5128" max="5128" width="16.5" style="1" customWidth="1"/>
    <col min="5129" max="5130" width="16.25" style="1" customWidth="1"/>
    <col min="5131" max="5131" width="15.25" style="1" bestFit="1" customWidth="1"/>
    <col min="5132" max="5132" width="15" style="1" bestFit="1" customWidth="1"/>
    <col min="5133" max="5133" width="14.125" style="1" bestFit="1" customWidth="1"/>
    <col min="5134" max="5376" width="9" style="1"/>
    <col min="5377" max="5377" width="5" style="1" bestFit="1" customWidth="1"/>
    <col min="5378" max="5378" width="11.25" style="1" customWidth="1"/>
    <col min="5379" max="5380" width="16.25" style="1" customWidth="1"/>
    <col min="5381" max="5381" width="15.25" style="1" bestFit="1" customWidth="1"/>
    <col min="5382" max="5382" width="15" style="1" bestFit="1" customWidth="1"/>
    <col min="5383" max="5383" width="13.625" style="1" bestFit="1" customWidth="1"/>
    <col min="5384" max="5384" width="16.5" style="1" customWidth="1"/>
    <col min="5385" max="5386" width="16.25" style="1" customWidth="1"/>
    <col min="5387" max="5387" width="15.25" style="1" bestFit="1" customWidth="1"/>
    <col min="5388" max="5388" width="15" style="1" bestFit="1" customWidth="1"/>
    <col min="5389" max="5389" width="14.125" style="1" bestFit="1" customWidth="1"/>
    <col min="5390" max="5632" width="9" style="1"/>
    <col min="5633" max="5633" width="5" style="1" bestFit="1" customWidth="1"/>
    <col min="5634" max="5634" width="11.25" style="1" customWidth="1"/>
    <col min="5635" max="5636" width="16.25" style="1" customWidth="1"/>
    <col min="5637" max="5637" width="15.25" style="1" bestFit="1" customWidth="1"/>
    <col min="5638" max="5638" width="15" style="1" bestFit="1" customWidth="1"/>
    <col min="5639" max="5639" width="13.625" style="1" bestFit="1" customWidth="1"/>
    <col min="5640" max="5640" width="16.5" style="1" customWidth="1"/>
    <col min="5641" max="5642" width="16.25" style="1" customWidth="1"/>
    <col min="5643" max="5643" width="15.25" style="1" bestFit="1" customWidth="1"/>
    <col min="5644" max="5644" width="15" style="1" bestFit="1" customWidth="1"/>
    <col min="5645" max="5645" width="14.125" style="1" bestFit="1" customWidth="1"/>
    <col min="5646" max="5888" width="9" style="1"/>
    <col min="5889" max="5889" width="5" style="1" bestFit="1" customWidth="1"/>
    <col min="5890" max="5890" width="11.25" style="1" customWidth="1"/>
    <col min="5891" max="5892" width="16.25" style="1" customWidth="1"/>
    <col min="5893" max="5893" width="15.25" style="1" bestFit="1" customWidth="1"/>
    <col min="5894" max="5894" width="15" style="1" bestFit="1" customWidth="1"/>
    <col min="5895" max="5895" width="13.625" style="1" bestFit="1" customWidth="1"/>
    <col min="5896" max="5896" width="16.5" style="1" customWidth="1"/>
    <col min="5897" max="5898" width="16.25" style="1" customWidth="1"/>
    <col min="5899" max="5899" width="15.25" style="1" bestFit="1" customWidth="1"/>
    <col min="5900" max="5900" width="15" style="1" bestFit="1" customWidth="1"/>
    <col min="5901" max="5901" width="14.125" style="1" bestFit="1" customWidth="1"/>
    <col min="5902" max="6144" width="9" style="1"/>
    <col min="6145" max="6145" width="5" style="1" bestFit="1" customWidth="1"/>
    <col min="6146" max="6146" width="11.25" style="1" customWidth="1"/>
    <col min="6147" max="6148" width="16.25" style="1" customWidth="1"/>
    <col min="6149" max="6149" width="15.25" style="1" bestFit="1" customWidth="1"/>
    <col min="6150" max="6150" width="15" style="1" bestFit="1" customWidth="1"/>
    <col min="6151" max="6151" width="13.625" style="1" bestFit="1" customWidth="1"/>
    <col min="6152" max="6152" width="16.5" style="1" customWidth="1"/>
    <col min="6153" max="6154" width="16.25" style="1" customWidth="1"/>
    <col min="6155" max="6155" width="15.25" style="1" bestFit="1" customWidth="1"/>
    <col min="6156" max="6156" width="15" style="1" bestFit="1" customWidth="1"/>
    <col min="6157" max="6157" width="14.125" style="1" bestFit="1" customWidth="1"/>
    <col min="6158" max="6400" width="9" style="1"/>
    <col min="6401" max="6401" width="5" style="1" bestFit="1" customWidth="1"/>
    <col min="6402" max="6402" width="11.25" style="1" customWidth="1"/>
    <col min="6403" max="6404" width="16.25" style="1" customWidth="1"/>
    <col min="6405" max="6405" width="15.25" style="1" bestFit="1" customWidth="1"/>
    <col min="6406" max="6406" width="15" style="1" bestFit="1" customWidth="1"/>
    <col min="6407" max="6407" width="13.625" style="1" bestFit="1" customWidth="1"/>
    <col min="6408" max="6408" width="16.5" style="1" customWidth="1"/>
    <col min="6409" max="6410" width="16.25" style="1" customWidth="1"/>
    <col min="6411" max="6411" width="15.25" style="1" bestFit="1" customWidth="1"/>
    <col min="6412" max="6412" width="15" style="1" bestFit="1" customWidth="1"/>
    <col min="6413" max="6413" width="14.125" style="1" bestFit="1" customWidth="1"/>
    <col min="6414" max="6656" width="9" style="1"/>
    <col min="6657" max="6657" width="5" style="1" bestFit="1" customWidth="1"/>
    <col min="6658" max="6658" width="11.25" style="1" customWidth="1"/>
    <col min="6659" max="6660" width="16.25" style="1" customWidth="1"/>
    <col min="6661" max="6661" width="15.25" style="1" bestFit="1" customWidth="1"/>
    <col min="6662" max="6662" width="15" style="1" bestFit="1" customWidth="1"/>
    <col min="6663" max="6663" width="13.625" style="1" bestFit="1" customWidth="1"/>
    <col min="6664" max="6664" width="16.5" style="1" customWidth="1"/>
    <col min="6665" max="6666" width="16.25" style="1" customWidth="1"/>
    <col min="6667" max="6667" width="15.25" style="1" bestFit="1" customWidth="1"/>
    <col min="6668" max="6668" width="15" style="1" bestFit="1" customWidth="1"/>
    <col min="6669" max="6669" width="14.125" style="1" bestFit="1" customWidth="1"/>
    <col min="6670" max="6912" width="9" style="1"/>
    <col min="6913" max="6913" width="5" style="1" bestFit="1" customWidth="1"/>
    <col min="6914" max="6914" width="11.25" style="1" customWidth="1"/>
    <col min="6915" max="6916" width="16.25" style="1" customWidth="1"/>
    <col min="6917" max="6917" width="15.25" style="1" bestFit="1" customWidth="1"/>
    <col min="6918" max="6918" width="15" style="1" bestFit="1" customWidth="1"/>
    <col min="6919" max="6919" width="13.625" style="1" bestFit="1" customWidth="1"/>
    <col min="6920" max="6920" width="16.5" style="1" customWidth="1"/>
    <col min="6921" max="6922" width="16.25" style="1" customWidth="1"/>
    <col min="6923" max="6923" width="15.25" style="1" bestFit="1" customWidth="1"/>
    <col min="6924" max="6924" width="15" style="1" bestFit="1" customWidth="1"/>
    <col min="6925" max="6925" width="14.125" style="1" bestFit="1" customWidth="1"/>
    <col min="6926" max="7168" width="9" style="1"/>
    <col min="7169" max="7169" width="5" style="1" bestFit="1" customWidth="1"/>
    <col min="7170" max="7170" width="11.25" style="1" customWidth="1"/>
    <col min="7171" max="7172" width="16.25" style="1" customWidth="1"/>
    <col min="7173" max="7173" width="15.25" style="1" bestFit="1" customWidth="1"/>
    <col min="7174" max="7174" width="15" style="1" bestFit="1" customWidth="1"/>
    <col min="7175" max="7175" width="13.625" style="1" bestFit="1" customWidth="1"/>
    <col min="7176" max="7176" width="16.5" style="1" customWidth="1"/>
    <col min="7177" max="7178" width="16.25" style="1" customWidth="1"/>
    <col min="7179" max="7179" width="15.25" style="1" bestFit="1" customWidth="1"/>
    <col min="7180" max="7180" width="15" style="1" bestFit="1" customWidth="1"/>
    <col min="7181" max="7181" width="14.125" style="1" bestFit="1" customWidth="1"/>
    <col min="7182" max="7424" width="9" style="1"/>
    <col min="7425" max="7425" width="5" style="1" bestFit="1" customWidth="1"/>
    <col min="7426" max="7426" width="11.25" style="1" customWidth="1"/>
    <col min="7427" max="7428" width="16.25" style="1" customWidth="1"/>
    <col min="7429" max="7429" width="15.25" style="1" bestFit="1" customWidth="1"/>
    <col min="7430" max="7430" width="15" style="1" bestFit="1" customWidth="1"/>
    <col min="7431" max="7431" width="13.625" style="1" bestFit="1" customWidth="1"/>
    <col min="7432" max="7432" width="16.5" style="1" customWidth="1"/>
    <col min="7433" max="7434" width="16.25" style="1" customWidth="1"/>
    <col min="7435" max="7435" width="15.25" style="1" bestFit="1" customWidth="1"/>
    <col min="7436" max="7436" width="15" style="1" bestFit="1" customWidth="1"/>
    <col min="7437" max="7437" width="14.125" style="1" bestFit="1" customWidth="1"/>
    <col min="7438" max="7680" width="9" style="1"/>
    <col min="7681" max="7681" width="5" style="1" bestFit="1" customWidth="1"/>
    <col min="7682" max="7682" width="11.25" style="1" customWidth="1"/>
    <col min="7683" max="7684" width="16.25" style="1" customWidth="1"/>
    <col min="7685" max="7685" width="15.25" style="1" bestFit="1" customWidth="1"/>
    <col min="7686" max="7686" width="15" style="1" bestFit="1" customWidth="1"/>
    <col min="7687" max="7687" width="13.625" style="1" bestFit="1" customWidth="1"/>
    <col min="7688" max="7688" width="16.5" style="1" customWidth="1"/>
    <col min="7689" max="7690" width="16.25" style="1" customWidth="1"/>
    <col min="7691" max="7691" width="15.25" style="1" bestFit="1" customWidth="1"/>
    <col min="7692" max="7692" width="15" style="1" bestFit="1" customWidth="1"/>
    <col min="7693" max="7693" width="14.125" style="1" bestFit="1" customWidth="1"/>
    <col min="7694" max="7936" width="9" style="1"/>
    <col min="7937" max="7937" width="5" style="1" bestFit="1" customWidth="1"/>
    <col min="7938" max="7938" width="11.25" style="1" customWidth="1"/>
    <col min="7939" max="7940" width="16.25" style="1" customWidth="1"/>
    <col min="7941" max="7941" width="15.25" style="1" bestFit="1" customWidth="1"/>
    <col min="7942" max="7942" width="15" style="1" bestFit="1" customWidth="1"/>
    <col min="7943" max="7943" width="13.625" style="1" bestFit="1" customWidth="1"/>
    <col min="7944" max="7944" width="16.5" style="1" customWidth="1"/>
    <col min="7945" max="7946" width="16.25" style="1" customWidth="1"/>
    <col min="7947" max="7947" width="15.25" style="1" bestFit="1" customWidth="1"/>
    <col min="7948" max="7948" width="15" style="1" bestFit="1" customWidth="1"/>
    <col min="7949" max="7949" width="14.125" style="1" bestFit="1" customWidth="1"/>
    <col min="7950" max="8192" width="9" style="1"/>
    <col min="8193" max="8193" width="5" style="1" bestFit="1" customWidth="1"/>
    <col min="8194" max="8194" width="11.25" style="1" customWidth="1"/>
    <col min="8195" max="8196" width="16.25" style="1" customWidth="1"/>
    <col min="8197" max="8197" width="15.25" style="1" bestFit="1" customWidth="1"/>
    <col min="8198" max="8198" width="15" style="1" bestFit="1" customWidth="1"/>
    <col min="8199" max="8199" width="13.625" style="1" bestFit="1" customWidth="1"/>
    <col min="8200" max="8200" width="16.5" style="1" customWidth="1"/>
    <col min="8201" max="8202" width="16.25" style="1" customWidth="1"/>
    <col min="8203" max="8203" width="15.25" style="1" bestFit="1" customWidth="1"/>
    <col min="8204" max="8204" width="15" style="1" bestFit="1" customWidth="1"/>
    <col min="8205" max="8205" width="14.125" style="1" bestFit="1" customWidth="1"/>
    <col min="8206" max="8448" width="9" style="1"/>
    <col min="8449" max="8449" width="5" style="1" bestFit="1" customWidth="1"/>
    <col min="8450" max="8450" width="11.25" style="1" customWidth="1"/>
    <col min="8451" max="8452" width="16.25" style="1" customWidth="1"/>
    <col min="8453" max="8453" width="15.25" style="1" bestFit="1" customWidth="1"/>
    <col min="8454" max="8454" width="15" style="1" bestFit="1" customWidth="1"/>
    <col min="8455" max="8455" width="13.625" style="1" bestFit="1" customWidth="1"/>
    <col min="8456" max="8456" width="16.5" style="1" customWidth="1"/>
    <col min="8457" max="8458" width="16.25" style="1" customWidth="1"/>
    <col min="8459" max="8459" width="15.25" style="1" bestFit="1" customWidth="1"/>
    <col min="8460" max="8460" width="15" style="1" bestFit="1" customWidth="1"/>
    <col min="8461" max="8461" width="14.125" style="1" bestFit="1" customWidth="1"/>
    <col min="8462" max="8704" width="9" style="1"/>
    <col min="8705" max="8705" width="5" style="1" bestFit="1" customWidth="1"/>
    <col min="8706" max="8706" width="11.25" style="1" customWidth="1"/>
    <col min="8707" max="8708" width="16.25" style="1" customWidth="1"/>
    <col min="8709" max="8709" width="15.25" style="1" bestFit="1" customWidth="1"/>
    <col min="8710" max="8710" width="15" style="1" bestFit="1" customWidth="1"/>
    <col min="8711" max="8711" width="13.625" style="1" bestFit="1" customWidth="1"/>
    <col min="8712" max="8712" width="16.5" style="1" customWidth="1"/>
    <col min="8713" max="8714" width="16.25" style="1" customWidth="1"/>
    <col min="8715" max="8715" width="15.25" style="1" bestFit="1" customWidth="1"/>
    <col min="8716" max="8716" width="15" style="1" bestFit="1" customWidth="1"/>
    <col min="8717" max="8717" width="14.125" style="1" bestFit="1" customWidth="1"/>
    <col min="8718" max="8960" width="9" style="1"/>
    <col min="8961" max="8961" width="5" style="1" bestFit="1" customWidth="1"/>
    <col min="8962" max="8962" width="11.25" style="1" customWidth="1"/>
    <col min="8963" max="8964" width="16.25" style="1" customWidth="1"/>
    <col min="8965" max="8965" width="15.25" style="1" bestFit="1" customWidth="1"/>
    <col min="8966" max="8966" width="15" style="1" bestFit="1" customWidth="1"/>
    <col min="8967" max="8967" width="13.625" style="1" bestFit="1" customWidth="1"/>
    <col min="8968" max="8968" width="16.5" style="1" customWidth="1"/>
    <col min="8969" max="8970" width="16.25" style="1" customWidth="1"/>
    <col min="8971" max="8971" width="15.25" style="1" bestFit="1" customWidth="1"/>
    <col min="8972" max="8972" width="15" style="1" bestFit="1" customWidth="1"/>
    <col min="8973" max="8973" width="14.125" style="1" bestFit="1" customWidth="1"/>
    <col min="8974" max="9216" width="9" style="1"/>
    <col min="9217" max="9217" width="5" style="1" bestFit="1" customWidth="1"/>
    <col min="9218" max="9218" width="11.25" style="1" customWidth="1"/>
    <col min="9219" max="9220" width="16.25" style="1" customWidth="1"/>
    <col min="9221" max="9221" width="15.25" style="1" bestFit="1" customWidth="1"/>
    <col min="9222" max="9222" width="15" style="1" bestFit="1" customWidth="1"/>
    <col min="9223" max="9223" width="13.625" style="1" bestFit="1" customWidth="1"/>
    <col min="9224" max="9224" width="16.5" style="1" customWidth="1"/>
    <col min="9225" max="9226" width="16.25" style="1" customWidth="1"/>
    <col min="9227" max="9227" width="15.25" style="1" bestFit="1" customWidth="1"/>
    <col min="9228" max="9228" width="15" style="1" bestFit="1" customWidth="1"/>
    <col min="9229" max="9229" width="14.125" style="1" bestFit="1" customWidth="1"/>
    <col min="9230" max="9472" width="9" style="1"/>
    <col min="9473" max="9473" width="5" style="1" bestFit="1" customWidth="1"/>
    <col min="9474" max="9474" width="11.25" style="1" customWidth="1"/>
    <col min="9475" max="9476" width="16.25" style="1" customWidth="1"/>
    <col min="9477" max="9477" width="15.25" style="1" bestFit="1" customWidth="1"/>
    <col min="9478" max="9478" width="15" style="1" bestFit="1" customWidth="1"/>
    <col min="9479" max="9479" width="13.625" style="1" bestFit="1" customWidth="1"/>
    <col min="9480" max="9480" width="16.5" style="1" customWidth="1"/>
    <col min="9481" max="9482" width="16.25" style="1" customWidth="1"/>
    <col min="9483" max="9483" width="15.25" style="1" bestFit="1" customWidth="1"/>
    <col min="9484" max="9484" width="15" style="1" bestFit="1" customWidth="1"/>
    <col min="9485" max="9485" width="14.125" style="1" bestFit="1" customWidth="1"/>
    <col min="9486" max="9728" width="9" style="1"/>
    <col min="9729" max="9729" width="5" style="1" bestFit="1" customWidth="1"/>
    <col min="9730" max="9730" width="11.25" style="1" customWidth="1"/>
    <col min="9731" max="9732" width="16.25" style="1" customWidth="1"/>
    <col min="9733" max="9733" width="15.25" style="1" bestFit="1" customWidth="1"/>
    <col min="9734" max="9734" width="15" style="1" bestFit="1" customWidth="1"/>
    <col min="9735" max="9735" width="13.625" style="1" bestFit="1" customWidth="1"/>
    <col min="9736" max="9736" width="16.5" style="1" customWidth="1"/>
    <col min="9737" max="9738" width="16.25" style="1" customWidth="1"/>
    <col min="9739" max="9739" width="15.25" style="1" bestFit="1" customWidth="1"/>
    <col min="9740" max="9740" width="15" style="1" bestFit="1" customWidth="1"/>
    <col min="9741" max="9741" width="14.125" style="1" bestFit="1" customWidth="1"/>
    <col min="9742" max="9984" width="9" style="1"/>
    <col min="9985" max="9985" width="5" style="1" bestFit="1" customWidth="1"/>
    <col min="9986" max="9986" width="11.25" style="1" customWidth="1"/>
    <col min="9987" max="9988" width="16.25" style="1" customWidth="1"/>
    <col min="9989" max="9989" width="15.25" style="1" bestFit="1" customWidth="1"/>
    <col min="9990" max="9990" width="15" style="1" bestFit="1" customWidth="1"/>
    <col min="9991" max="9991" width="13.625" style="1" bestFit="1" customWidth="1"/>
    <col min="9992" max="9992" width="16.5" style="1" customWidth="1"/>
    <col min="9993" max="9994" width="16.25" style="1" customWidth="1"/>
    <col min="9995" max="9995" width="15.25" style="1" bestFit="1" customWidth="1"/>
    <col min="9996" max="9996" width="15" style="1" bestFit="1" customWidth="1"/>
    <col min="9997" max="9997" width="14.125" style="1" bestFit="1" customWidth="1"/>
    <col min="9998" max="10240" width="9" style="1"/>
    <col min="10241" max="10241" width="5" style="1" bestFit="1" customWidth="1"/>
    <col min="10242" max="10242" width="11.25" style="1" customWidth="1"/>
    <col min="10243" max="10244" width="16.25" style="1" customWidth="1"/>
    <col min="10245" max="10245" width="15.25" style="1" bestFit="1" customWidth="1"/>
    <col min="10246" max="10246" width="15" style="1" bestFit="1" customWidth="1"/>
    <col min="10247" max="10247" width="13.625" style="1" bestFit="1" customWidth="1"/>
    <col min="10248" max="10248" width="16.5" style="1" customWidth="1"/>
    <col min="10249" max="10250" width="16.25" style="1" customWidth="1"/>
    <col min="10251" max="10251" width="15.25" style="1" bestFit="1" customWidth="1"/>
    <col min="10252" max="10252" width="15" style="1" bestFit="1" customWidth="1"/>
    <col min="10253" max="10253" width="14.125" style="1" bestFit="1" customWidth="1"/>
    <col min="10254" max="10496" width="9" style="1"/>
    <col min="10497" max="10497" width="5" style="1" bestFit="1" customWidth="1"/>
    <col min="10498" max="10498" width="11.25" style="1" customWidth="1"/>
    <col min="10499" max="10500" width="16.25" style="1" customWidth="1"/>
    <col min="10501" max="10501" width="15.25" style="1" bestFit="1" customWidth="1"/>
    <col min="10502" max="10502" width="15" style="1" bestFit="1" customWidth="1"/>
    <col min="10503" max="10503" width="13.625" style="1" bestFit="1" customWidth="1"/>
    <col min="10504" max="10504" width="16.5" style="1" customWidth="1"/>
    <col min="10505" max="10506" width="16.25" style="1" customWidth="1"/>
    <col min="10507" max="10507" width="15.25" style="1" bestFit="1" customWidth="1"/>
    <col min="10508" max="10508" width="15" style="1" bestFit="1" customWidth="1"/>
    <col min="10509" max="10509" width="14.125" style="1" bestFit="1" customWidth="1"/>
    <col min="10510" max="10752" width="9" style="1"/>
    <col min="10753" max="10753" width="5" style="1" bestFit="1" customWidth="1"/>
    <col min="10754" max="10754" width="11.25" style="1" customWidth="1"/>
    <col min="10755" max="10756" width="16.25" style="1" customWidth="1"/>
    <col min="10757" max="10757" width="15.25" style="1" bestFit="1" customWidth="1"/>
    <col min="10758" max="10758" width="15" style="1" bestFit="1" customWidth="1"/>
    <col min="10759" max="10759" width="13.625" style="1" bestFit="1" customWidth="1"/>
    <col min="10760" max="10760" width="16.5" style="1" customWidth="1"/>
    <col min="10761" max="10762" width="16.25" style="1" customWidth="1"/>
    <col min="10763" max="10763" width="15.25" style="1" bestFit="1" customWidth="1"/>
    <col min="10764" max="10764" width="15" style="1" bestFit="1" customWidth="1"/>
    <col min="10765" max="10765" width="14.125" style="1" bestFit="1" customWidth="1"/>
    <col min="10766" max="11008" width="9" style="1"/>
    <col min="11009" max="11009" width="5" style="1" bestFit="1" customWidth="1"/>
    <col min="11010" max="11010" width="11.25" style="1" customWidth="1"/>
    <col min="11011" max="11012" width="16.25" style="1" customWidth="1"/>
    <col min="11013" max="11013" width="15.25" style="1" bestFit="1" customWidth="1"/>
    <col min="11014" max="11014" width="15" style="1" bestFit="1" customWidth="1"/>
    <col min="11015" max="11015" width="13.625" style="1" bestFit="1" customWidth="1"/>
    <col min="11016" max="11016" width="16.5" style="1" customWidth="1"/>
    <col min="11017" max="11018" width="16.25" style="1" customWidth="1"/>
    <col min="11019" max="11019" width="15.25" style="1" bestFit="1" customWidth="1"/>
    <col min="11020" max="11020" width="15" style="1" bestFit="1" customWidth="1"/>
    <col min="11021" max="11021" width="14.125" style="1" bestFit="1" customWidth="1"/>
    <col min="11022" max="11264" width="9" style="1"/>
    <col min="11265" max="11265" width="5" style="1" bestFit="1" customWidth="1"/>
    <col min="11266" max="11266" width="11.25" style="1" customWidth="1"/>
    <col min="11267" max="11268" width="16.25" style="1" customWidth="1"/>
    <col min="11269" max="11269" width="15.25" style="1" bestFit="1" customWidth="1"/>
    <col min="11270" max="11270" width="15" style="1" bestFit="1" customWidth="1"/>
    <col min="11271" max="11271" width="13.625" style="1" bestFit="1" customWidth="1"/>
    <col min="11272" max="11272" width="16.5" style="1" customWidth="1"/>
    <col min="11273" max="11274" width="16.25" style="1" customWidth="1"/>
    <col min="11275" max="11275" width="15.25" style="1" bestFit="1" customWidth="1"/>
    <col min="11276" max="11276" width="15" style="1" bestFit="1" customWidth="1"/>
    <col min="11277" max="11277" width="14.125" style="1" bestFit="1" customWidth="1"/>
    <col min="11278" max="11520" width="9" style="1"/>
    <col min="11521" max="11521" width="5" style="1" bestFit="1" customWidth="1"/>
    <col min="11522" max="11522" width="11.25" style="1" customWidth="1"/>
    <col min="11523" max="11524" width="16.25" style="1" customWidth="1"/>
    <col min="11525" max="11525" width="15.25" style="1" bestFit="1" customWidth="1"/>
    <col min="11526" max="11526" width="15" style="1" bestFit="1" customWidth="1"/>
    <col min="11527" max="11527" width="13.625" style="1" bestFit="1" customWidth="1"/>
    <col min="11528" max="11528" width="16.5" style="1" customWidth="1"/>
    <col min="11529" max="11530" width="16.25" style="1" customWidth="1"/>
    <col min="11531" max="11531" width="15.25" style="1" bestFit="1" customWidth="1"/>
    <col min="11532" max="11532" width="15" style="1" bestFit="1" customWidth="1"/>
    <col min="11533" max="11533" width="14.125" style="1" bestFit="1" customWidth="1"/>
    <col min="11534" max="11776" width="9" style="1"/>
    <col min="11777" max="11777" width="5" style="1" bestFit="1" customWidth="1"/>
    <col min="11778" max="11778" width="11.25" style="1" customWidth="1"/>
    <col min="11779" max="11780" width="16.25" style="1" customWidth="1"/>
    <col min="11781" max="11781" width="15.25" style="1" bestFit="1" customWidth="1"/>
    <col min="11782" max="11782" width="15" style="1" bestFit="1" customWidth="1"/>
    <col min="11783" max="11783" width="13.625" style="1" bestFit="1" customWidth="1"/>
    <col min="11784" max="11784" width="16.5" style="1" customWidth="1"/>
    <col min="11785" max="11786" width="16.25" style="1" customWidth="1"/>
    <col min="11787" max="11787" width="15.25" style="1" bestFit="1" customWidth="1"/>
    <col min="11788" max="11788" width="15" style="1" bestFit="1" customWidth="1"/>
    <col min="11789" max="11789" width="14.125" style="1" bestFit="1" customWidth="1"/>
    <col min="11790" max="12032" width="9" style="1"/>
    <col min="12033" max="12033" width="5" style="1" bestFit="1" customWidth="1"/>
    <col min="12034" max="12034" width="11.25" style="1" customWidth="1"/>
    <col min="12035" max="12036" width="16.25" style="1" customWidth="1"/>
    <col min="12037" max="12037" width="15.25" style="1" bestFit="1" customWidth="1"/>
    <col min="12038" max="12038" width="15" style="1" bestFit="1" customWidth="1"/>
    <col min="12039" max="12039" width="13.625" style="1" bestFit="1" customWidth="1"/>
    <col min="12040" max="12040" width="16.5" style="1" customWidth="1"/>
    <col min="12041" max="12042" width="16.25" style="1" customWidth="1"/>
    <col min="12043" max="12043" width="15.25" style="1" bestFit="1" customWidth="1"/>
    <col min="12044" max="12044" width="15" style="1" bestFit="1" customWidth="1"/>
    <col min="12045" max="12045" width="14.125" style="1" bestFit="1" customWidth="1"/>
    <col min="12046" max="12288" width="9" style="1"/>
    <col min="12289" max="12289" width="5" style="1" bestFit="1" customWidth="1"/>
    <col min="12290" max="12290" width="11.25" style="1" customWidth="1"/>
    <col min="12291" max="12292" width="16.25" style="1" customWidth="1"/>
    <col min="12293" max="12293" width="15.25" style="1" bestFit="1" customWidth="1"/>
    <col min="12294" max="12294" width="15" style="1" bestFit="1" customWidth="1"/>
    <col min="12295" max="12295" width="13.625" style="1" bestFit="1" customWidth="1"/>
    <col min="12296" max="12296" width="16.5" style="1" customWidth="1"/>
    <col min="12297" max="12298" width="16.25" style="1" customWidth="1"/>
    <col min="12299" max="12299" width="15.25" style="1" bestFit="1" customWidth="1"/>
    <col min="12300" max="12300" width="15" style="1" bestFit="1" customWidth="1"/>
    <col min="12301" max="12301" width="14.125" style="1" bestFit="1" customWidth="1"/>
    <col min="12302" max="12544" width="9" style="1"/>
    <col min="12545" max="12545" width="5" style="1" bestFit="1" customWidth="1"/>
    <col min="12546" max="12546" width="11.25" style="1" customWidth="1"/>
    <col min="12547" max="12548" width="16.25" style="1" customWidth="1"/>
    <col min="12549" max="12549" width="15.25" style="1" bestFit="1" customWidth="1"/>
    <col min="12550" max="12550" width="15" style="1" bestFit="1" customWidth="1"/>
    <col min="12551" max="12551" width="13.625" style="1" bestFit="1" customWidth="1"/>
    <col min="12552" max="12552" width="16.5" style="1" customWidth="1"/>
    <col min="12553" max="12554" width="16.25" style="1" customWidth="1"/>
    <col min="12555" max="12555" width="15.25" style="1" bestFit="1" customWidth="1"/>
    <col min="12556" max="12556" width="15" style="1" bestFit="1" customWidth="1"/>
    <col min="12557" max="12557" width="14.125" style="1" bestFit="1" customWidth="1"/>
    <col min="12558" max="12800" width="9" style="1"/>
    <col min="12801" max="12801" width="5" style="1" bestFit="1" customWidth="1"/>
    <col min="12802" max="12802" width="11.25" style="1" customWidth="1"/>
    <col min="12803" max="12804" width="16.25" style="1" customWidth="1"/>
    <col min="12805" max="12805" width="15.25" style="1" bestFit="1" customWidth="1"/>
    <col min="12806" max="12806" width="15" style="1" bestFit="1" customWidth="1"/>
    <col min="12807" max="12807" width="13.625" style="1" bestFit="1" customWidth="1"/>
    <col min="12808" max="12808" width="16.5" style="1" customWidth="1"/>
    <col min="12809" max="12810" width="16.25" style="1" customWidth="1"/>
    <col min="12811" max="12811" width="15.25" style="1" bestFit="1" customWidth="1"/>
    <col min="12812" max="12812" width="15" style="1" bestFit="1" customWidth="1"/>
    <col min="12813" max="12813" width="14.125" style="1" bestFit="1" customWidth="1"/>
    <col min="12814" max="13056" width="9" style="1"/>
    <col min="13057" max="13057" width="5" style="1" bestFit="1" customWidth="1"/>
    <col min="13058" max="13058" width="11.25" style="1" customWidth="1"/>
    <col min="13059" max="13060" width="16.25" style="1" customWidth="1"/>
    <col min="13061" max="13061" width="15.25" style="1" bestFit="1" customWidth="1"/>
    <col min="13062" max="13062" width="15" style="1" bestFit="1" customWidth="1"/>
    <col min="13063" max="13063" width="13.625" style="1" bestFit="1" customWidth="1"/>
    <col min="13064" max="13064" width="16.5" style="1" customWidth="1"/>
    <col min="13065" max="13066" width="16.25" style="1" customWidth="1"/>
    <col min="13067" max="13067" width="15.25" style="1" bestFit="1" customWidth="1"/>
    <col min="13068" max="13068" width="15" style="1" bestFit="1" customWidth="1"/>
    <col min="13069" max="13069" width="14.125" style="1" bestFit="1" customWidth="1"/>
    <col min="13070" max="13312" width="9" style="1"/>
    <col min="13313" max="13313" width="5" style="1" bestFit="1" customWidth="1"/>
    <col min="13314" max="13314" width="11.25" style="1" customWidth="1"/>
    <col min="13315" max="13316" width="16.25" style="1" customWidth="1"/>
    <col min="13317" max="13317" width="15.25" style="1" bestFit="1" customWidth="1"/>
    <col min="13318" max="13318" width="15" style="1" bestFit="1" customWidth="1"/>
    <col min="13319" max="13319" width="13.625" style="1" bestFit="1" customWidth="1"/>
    <col min="13320" max="13320" width="16.5" style="1" customWidth="1"/>
    <col min="13321" max="13322" width="16.25" style="1" customWidth="1"/>
    <col min="13323" max="13323" width="15.25" style="1" bestFit="1" customWidth="1"/>
    <col min="13324" max="13324" width="15" style="1" bestFit="1" customWidth="1"/>
    <col min="13325" max="13325" width="14.125" style="1" bestFit="1" customWidth="1"/>
    <col min="13326" max="13568" width="9" style="1"/>
    <col min="13569" max="13569" width="5" style="1" bestFit="1" customWidth="1"/>
    <col min="13570" max="13570" width="11.25" style="1" customWidth="1"/>
    <col min="13571" max="13572" width="16.25" style="1" customWidth="1"/>
    <col min="13573" max="13573" width="15.25" style="1" bestFit="1" customWidth="1"/>
    <col min="13574" max="13574" width="15" style="1" bestFit="1" customWidth="1"/>
    <col min="13575" max="13575" width="13.625" style="1" bestFit="1" customWidth="1"/>
    <col min="13576" max="13576" width="16.5" style="1" customWidth="1"/>
    <col min="13577" max="13578" width="16.25" style="1" customWidth="1"/>
    <col min="13579" max="13579" width="15.25" style="1" bestFit="1" customWidth="1"/>
    <col min="13580" max="13580" width="15" style="1" bestFit="1" customWidth="1"/>
    <col min="13581" max="13581" width="14.125" style="1" bestFit="1" customWidth="1"/>
    <col min="13582" max="13824" width="9" style="1"/>
    <col min="13825" max="13825" width="5" style="1" bestFit="1" customWidth="1"/>
    <col min="13826" max="13826" width="11.25" style="1" customWidth="1"/>
    <col min="13827" max="13828" width="16.25" style="1" customWidth="1"/>
    <col min="13829" max="13829" width="15.25" style="1" bestFit="1" customWidth="1"/>
    <col min="13830" max="13830" width="15" style="1" bestFit="1" customWidth="1"/>
    <col min="13831" max="13831" width="13.625" style="1" bestFit="1" customWidth="1"/>
    <col min="13832" max="13832" width="16.5" style="1" customWidth="1"/>
    <col min="13833" max="13834" width="16.25" style="1" customWidth="1"/>
    <col min="13835" max="13835" width="15.25" style="1" bestFit="1" customWidth="1"/>
    <col min="13836" max="13836" width="15" style="1" bestFit="1" customWidth="1"/>
    <col min="13837" max="13837" width="14.125" style="1" bestFit="1" customWidth="1"/>
    <col min="13838" max="14080" width="9" style="1"/>
    <col min="14081" max="14081" width="5" style="1" bestFit="1" customWidth="1"/>
    <col min="14082" max="14082" width="11.25" style="1" customWidth="1"/>
    <col min="14083" max="14084" width="16.25" style="1" customWidth="1"/>
    <col min="14085" max="14085" width="15.25" style="1" bestFit="1" customWidth="1"/>
    <col min="14086" max="14086" width="15" style="1" bestFit="1" customWidth="1"/>
    <col min="14087" max="14087" width="13.625" style="1" bestFit="1" customWidth="1"/>
    <col min="14088" max="14088" width="16.5" style="1" customWidth="1"/>
    <col min="14089" max="14090" width="16.25" style="1" customWidth="1"/>
    <col min="14091" max="14091" width="15.25" style="1" bestFit="1" customWidth="1"/>
    <col min="14092" max="14092" width="15" style="1" bestFit="1" customWidth="1"/>
    <col min="14093" max="14093" width="14.125" style="1" bestFit="1" customWidth="1"/>
    <col min="14094" max="14336" width="9" style="1"/>
    <col min="14337" max="14337" width="5" style="1" bestFit="1" customWidth="1"/>
    <col min="14338" max="14338" width="11.25" style="1" customWidth="1"/>
    <col min="14339" max="14340" width="16.25" style="1" customWidth="1"/>
    <col min="14341" max="14341" width="15.25" style="1" bestFit="1" customWidth="1"/>
    <col min="14342" max="14342" width="15" style="1" bestFit="1" customWidth="1"/>
    <col min="14343" max="14343" width="13.625" style="1" bestFit="1" customWidth="1"/>
    <col min="14344" max="14344" width="16.5" style="1" customWidth="1"/>
    <col min="14345" max="14346" width="16.25" style="1" customWidth="1"/>
    <col min="14347" max="14347" width="15.25" style="1" bestFit="1" customWidth="1"/>
    <col min="14348" max="14348" width="15" style="1" bestFit="1" customWidth="1"/>
    <col min="14349" max="14349" width="14.125" style="1" bestFit="1" customWidth="1"/>
    <col min="14350" max="14592" width="9" style="1"/>
    <col min="14593" max="14593" width="5" style="1" bestFit="1" customWidth="1"/>
    <col min="14594" max="14594" width="11.25" style="1" customWidth="1"/>
    <col min="14595" max="14596" width="16.25" style="1" customWidth="1"/>
    <col min="14597" max="14597" width="15.25" style="1" bestFit="1" customWidth="1"/>
    <col min="14598" max="14598" width="15" style="1" bestFit="1" customWidth="1"/>
    <col min="14599" max="14599" width="13.625" style="1" bestFit="1" customWidth="1"/>
    <col min="14600" max="14600" width="16.5" style="1" customWidth="1"/>
    <col min="14601" max="14602" width="16.25" style="1" customWidth="1"/>
    <col min="14603" max="14603" width="15.25" style="1" bestFit="1" customWidth="1"/>
    <col min="14604" max="14604" width="15" style="1" bestFit="1" customWidth="1"/>
    <col min="14605" max="14605" width="14.125" style="1" bestFit="1" customWidth="1"/>
    <col min="14606" max="14848" width="9" style="1"/>
    <col min="14849" max="14849" width="5" style="1" bestFit="1" customWidth="1"/>
    <col min="14850" max="14850" width="11.25" style="1" customWidth="1"/>
    <col min="14851" max="14852" width="16.25" style="1" customWidth="1"/>
    <col min="14853" max="14853" width="15.25" style="1" bestFit="1" customWidth="1"/>
    <col min="14854" max="14854" width="15" style="1" bestFit="1" customWidth="1"/>
    <col min="14855" max="14855" width="13.625" style="1" bestFit="1" customWidth="1"/>
    <col min="14856" max="14856" width="16.5" style="1" customWidth="1"/>
    <col min="14857" max="14858" width="16.25" style="1" customWidth="1"/>
    <col min="14859" max="14859" width="15.25" style="1" bestFit="1" customWidth="1"/>
    <col min="14860" max="14860" width="15" style="1" bestFit="1" customWidth="1"/>
    <col min="14861" max="14861" width="14.125" style="1" bestFit="1" customWidth="1"/>
    <col min="14862" max="15104" width="9" style="1"/>
    <col min="15105" max="15105" width="5" style="1" bestFit="1" customWidth="1"/>
    <col min="15106" max="15106" width="11.25" style="1" customWidth="1"/>
    <col min="15107" max="15108" width="16.25" style="1" customWidth="1"/>
    <col min="15109" max="15109" width="15.25" style="1" bestFit="1" customWidth="1"/>
    <col min="15110" max="15110" width="15" style="1" bestFit="1" customWidth="1"/>
    <col min="15111" max="15111" width="13.625" style="1" bestFit="1" customWidth="1"/>
    <col min="15112" max="15112" width="16.5" style="1" customWidth="1"/>
    <col min="15113" max="15114" width="16.25" style="1" customWidth="1"/>
    <col min="15115" max="15115" width="15.25" style="1" bestFit="1" customWidth="1"/>
    <col min="15116" max="15116" width="15" style="1" bestFit="1" customWidth="1"/>
    <col min="15117" max="15117" width="14.125" style="1" bestFit="1" customWidth="1"/>
    <col min="15118" max="15360" width="9" style="1"/>
    <col min="15361" max="15361" width="5" style="1" bestFit="1" customWidth="1"/>
    <col min="15362" max="15362" width="11.25" style="1" customWidth="1"/>
    <col min="15363" max="15364" width="16.25" style="1" customWidth="1"/>
    <col min="15365" max="15365" width="15.25" style="1" bestFit="1" customWidth="1"/>
    <col min="15366" max="15366" width="15" style="1" bestFit="1" customWidth="1"/>
    <col min="15367" max="15367" width="13.625" style="1" bestFit="1" customWidth="1"/>
    <col min="15368" max="15368" width="16.5" style="1" customWidth="1"/>
    <col min="15369" max="15370" width="16.25" style="1" customWidth="1"/>
    <col min="15371" max="15371" width="15.25" style="1" bestFit="1" customWidth="1"/>
    <col min="15372" max="15372" width="15" style="1" bestFit="1" customWidth="1"/>
    <col min="15373" max="15373" width="14.125" style="1" bestFit="1" customWidth="1"/>
    <col min="15374" max="15616" width="9" style="1"/>
    <col min="15617" max="15617" width="5" style="1" bestFit="1" customWidth="1"/>
    <col min="15618" max="15618" width="11.25" style="1" customWidth="1"/>
    <col min="15619" max="15620" width="16.25" style="1" customWidth="1"/>
    <col min="15621" max="15621" width="15.25" style="1" bestFit="1" customWidth="1"/>
    <col min="15622" max="15622" width="15" style="1" bestFit="1" customWidth="1"/>
    <col min="15623" max="15623" width="13.625" style="1" bestFit="1" customWidth="1"/>
    <col min="15624" max="15624" width="16.5" style="1" customWidth="1"/>
    <col min="15625" max="15626" width="16.25" style="1" customWidth="1"/>
    <col min="15627" max="15627" width="15.25" style="1" bestFit="1" customWidth="1"/>
    <col min="15628" max="15628" width="15" style="1" bestFit="1" customWidth="1"/>
    <col min="15629" max="15629" width="14.125" style="1" bestFit="1" customWidth="1"/>
    <col min="15630" max="15872" width="9" style="1"/>
    <col min="15873" max="15873" width="5" style="1" bestFit="1" customWidth="1"/>
    <col min="15874" max="15874" width="11.25" style="1" customWidth="1"/>
    <col min="15875" max="15876" width="16.25" style="1" customWidth="1"/>
    <col min="15877" max="15877" width="15.25" style="1" bestFit="1" customWidth="1"/>
    <col min="15878" max="15878" width="15" style="1" bestFit="1" customWidth="1"/>
    <col min="15879" max="15879" width="13.625" style="1" bestFit="1" customWidth="1"/>
    <col min="15880" max="15880" width="16.5" style="1" customWidth="1"/>
    <col min="15881" max="15882" width="16.25" style="1" customWidth="1"/>
    <col min="15883" max="15883" width="15.25" style="1" bestFit="1" customWidth="1"/>
    <col min="15884" max="15884" width="15" style="1" bestFit="1" customWidth="1"/>
    <col min="15885" max="15885" width="14.125" style="1" bestFit="1" customWidth="1"/>
    <col min="15886" max="16128" width="9" style="1"/>
    <col min="16129" max="16129" width="5" style="1" bestFit="1" customWidth="1"/>
    <col min="16130" max="16130" width="11.25" style="1" customWidth="1"/>
    <col min="16131" max="16132" width="16.25" style="1" customWidth="1"/>
    <col min="16133" max="16133" width="15.25" style="1" bestFit="1" customWidth="1"/>
    <col min="16134" max="16134" width="15" style="1" bestFit="1" customWidth="1"/>
    <col min="16135" max="16135" width="13.625" style="1" bestFit="1" customWidth="1"/>
    <col min="16136" max="16136" width="16.5" style="1" customWidth="1"/>
    <col min="16137" max="16138" width="16.25" style="1" customWidth="1"/>
    <col min="16139" max="16139" width="15.25" style="1" bestFit="1" customWidth="1"/>
    <col min="16140" max="16140" width="15" style="1" bestFit="1" customWidth="1"/>
    <col min="16141" max="16141" width="14.125" style="1" bestFit="1" customWidth="1"/>
    <col min="16142" max="16384" width="9" style="1"/>
  </cols>
  <sheetData>
    <row r="1" spans="1:15" ht="18" customHeight="1">
      <c r="A1" s="647" t="s">
        <v>0</v>
      </c>
      <c r="B1" s="647"/>
    </row>
    <row r="2" spans="1:15" ht="18" customHeight="1">
      <c r="A2" s="648" t="s">
        <v>1</v>
      </c>
      <c r="B2" s="648"/>
      <c r="C2" s="649"/>
      <c r="D2" s="649"/>
      <c r="E2" s="2"/>
      <c r="F2" s="2"/>
    </row>
    <row r="3" spans="1:15" ht="28.5" customHeight="1">
      <c r="A3" s="650" t="s">
        <v>2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</row>
    <row r="4" spans="1:15" ht="30">
      <c r="A4" s="651" t="s">
        <v>3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</row>
    <row r="5" spans="1:15" ht="19.5">
      <c r="A5" s="652" t="s">
        <v>4</v>
      </c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</row>
    <row r="6" spans="1:15" ht="24" customHeight="1" thickBot="1">
      <c r="A6" s="636" t="s">
        <v>5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</row>
    <row r="7" spans="1:15" ht="20.25" customHeight="1">
      <c r="A7" s="625" t="s">
        <v>6</v>
      </c>
      <c r="B7" s="639" t="s">
        <v>7</v>
      </c>
      <c r="C7" s="640"/>
      <c r="D7" s="640"/>
      <c r="E7" s="640"/>
      <c r="F7" s="640"/>
      <c r="G7" s="640"/>
      <c r="H7" s="639" t="s">
        <v>8</v>
      </c>
      <c r="I7" s="640"/>
      <c r="J7" s="640"/>
      <c r="K7" s="640"/>
      <c r="L7" s="640"/>
      <c r="M7" s="641"/>
    </row>
    <row r="8" spans="1:15" ht="20.25" customHeight="1">
      <c r="A8" s="626"/>
      <c r="B8" s="642" t="s">
        <v>9</v>
      </c>
      <c r="C8" s="643"/>
      <c r="D8" s="644"/>
      <c r="E8" s="621" t="s">
        <v>10</v>
      </c>
      <c r="F8" s="621" t="s">
        <v>11</v>
      </c>
      <c r="G8" s="645" t="s">
        <v>12</v>
      </c>
      <c r="H8" s="642" t="s">
        <v>9</v>
      </c>
      <c r="I8" s="643"/>
      <c r="J8" s="644"/>
      <c r="K8" s="621" t="s">
        <v>10</v>
      </c>
      <c r="L8" s="621" t="s">
        <v>11</v>
      </c>
      <c r="M8" s="623" t="s">
        <v>12</v>
      </c>
      <c r="O8" s="3"/>
    </row>
    <row r="9" spans="1:15" ht="20.25" customHeight="1" thickBot="1">
      <c r="A9" s="638"/>
      <c r="B9" s="4" t="s">
        <v>13</v>
      </c>
      <c r="C9" s="5" t="s">
        <v>14</v>
      </c>
      <c r="D9" s="5" t="s">
        <v>15</v>
      </c>
      <c r="E9" s="622"/>
      <c r="F9" s="622"/>
      <c r="G9" s="646"/>
      <c r="H9" s="6" t="s">
        <v>13</v>
      </c>
      <c r="I9" s="7" t="s">
        <v>14</v>
      </c>
      <c r="J9" s="7" t="s">
        <v>15</v>
      </c>
      <c r="K9" s="622"/>
      <c r="L9" s="622"/>
      <c r="M9" s="624"/>
    </row>
    <row r="10" spans="1:15" ht="18.75" customHeight="1">
      <c r="A10" s="625" t="s">
        <v>16</v>
      </c>
      <c r="B10" s="627" t="s">
        <v>17</v>
      </c>
      <c r="C10" s="630" t="s">
        <v>18</v>
      </c>
      <c r="D10" s="8" t="s">
        <v>19</v>
      </c>
      <c r="E10" s="631">
        <f>63051148+200000+★서울총괄!E10+★부산총괄!E10</f>
        <v>121099148</v>
      </c>
      <c r="F10" s="633">
        <f>★본부총괄!F10+★서울총괄!F10+★부산총괄!F10</f>
        <v>119577121</v>
      </c>
      <c r="G10" s="618">
        <f>E10-F10</f>
        <v>1522027</v>
      </c>
      <c r="H10" s="635" t="s">
        <v>20</v>
      </c>
      <c r="I10" s="607" t="s">
        <v>21</v>
      </c>
      <c r="J10" s="607" t="s">
        <v>22</v>
      </c>
      <c r="K10" s="609">
        <f>★본부총괄!K10+★서울총괄!K11</f>
        <v>25000000</v>
      </c>
      <c r="L10" s="611">
        <f>18495923+★서울총괄!L10</f>
        <v>21591092</v>
      </c>
      <c r="M10" s="613">
        <f>K10-L10</f>
        <v>3408908</v>
      </c>
    </row>
    <row r="11" spans="1:15" ht="18.75" customHeight="1" thickBot="1">
      <c r="A11" s="626"/>
      <c r="B11" s="628"/>
      <c r="C11" s="593"/>
      <c r="D11" s="9" t="s">
        <v>23</v>
      </c>
      <c r="E11" s="632"/>
      <c r="F11" s="634"/>
      <c r="G11" s="619"/>
      <c r="H11" s="620"/>
      <c r="I11" s="608"/>
      <c r="J11" s="608"/>
      <c r="K11" s="610"/>
      <c r="L11" s="612"/>
      <c r="M11" s="613"/>
    </row>
    <row r="12" spans="1:15" ht="18.75" customHeight="1">
      <c r="A12" s="626"/>
      <c r="B12" s="628"/>
      <c r="C12" s="592" t="s">
        <v>24</v>
      </c>
      <c r="D12" s="10" t="s">
        <v>25</v>
      </c>
      <c r="E12" s="614">
        <f>4400000+★서울총괄!E12+★부산총괄!E12+★부산총괄!E13</f>
        <v>4940000</v>
      </c>
      <c r="F12" s="616">
        <f>★본부총괄!F12+★서울총괄!F12</f>
        <v>3787700</v>
      </c>
      <c r="G12" s="618">
        <f>E12-F12</f>
        <v>1152300</v>
      </c>
      <c r="H12" s="620" t="s">
        <v>26</v>
      </c>
      <c r="I12" s="608" t="s">
        <v>27</v>
      </c>
      <c r="J12" s="11" t="s">
        <v>28</v>
      </c>
      <c r="K12" s="12">
        <f>★본부총괄!K12+★서울총괄!K12</f>
        <v>74640000</v>
      </c>
      <c r="L12" s="13">
        <f>71969641</f>
        <v>71969641</v>
      </c>
      <c r="M12" s="14">
        <f t="shared" ref="M12:M21" si="0">K12-L12</f>
        <v>2670359</v>
      </c>
    </row>
    <row r="13" spans="1:15" ht="18.75" customHeight="1">
      <c r="A13" s="626"/>
      <c r="B13" s="628"/>
      <c r="C13" s="593"/>
      <c r="D13" s="15" t="s">
        <v>29</v>
      </c>
      <c r="E13" s="615"/>
      <c r="F13" s="617"/>
      <c r="G13" s="619"/>
      <c r="H13" s="620"/>
      <c r="I13" s="608"/>
      <c r="J13" s="11" t="s">
        <v>30</v>
      </c>
      <c r="K13" s="12">
        <f>★본부총괄!K13</f>
        <v>42100000</v>
      </c>
      <c r="L13" s="13">
        <v>32875560</v>
      </c>
      <c r="M13" s="14">
        <f t="shared" si="0"/>
        <v>9224440</v>
      </c>
    </row>
    <row r="14" spans="1:15" ht="18.75" customHeight="1">
      <c r="A14" s="626"/>
      <c r="B14" s="629"/>
      <c r="C14" s="10" t="s">
        <v>31</v>
      </c>
      <c r="D14" s="16" t="s">
        <v>32</v>
      </c>
      <c r="E14" s="17">
        <f>6691013+★서울총괄!E14+★부산총괄!E14</f>
        <v>7491013</v>
      </c>
      <c r="F14" s="18">
        <f>★본부총괄!F14+★서울총괄!F14</f>
        <v>6406064</v>
      </c>
      <c r="G14" s="19">
        <f>E14-F14</f>
        <v>1084949</v>
      </c>
      <c r="H14" s="20" t="s">
        <v>33</v>
      </c>
      <c r="I14" s="21" t="s">
        <v>34</v>
      </c>
      <c r="J14" s="22" t="s">
        <v>35</v>
      </c>
      <c r="K14" s="12">
        <f>★본부총괄!K14</f>
        <v>1200000</v>
      </c>
      <c r="L14" s="13">
        <v>1200000</v>
      </c>
      <c r="M14" s="14">
        <f t="shared" si="0"/>
        <v>0</v>
      </c>
    </row>
    <row r="15" spans="1:15" ht="18.75" customHeight="1">
      <c r="A15" s="626"/>
      <c r="B15" s="23" t="s">
        <v>36</v>
      </c>
      <c r="C15" s="10" t="s">
        <v>37</v>
      </c>
      <c r="D15" s="16" t="s">
        <v>38</v>
      </c>
      <c r="E15" s="17">
        <f>1000000+★서울총괄!E15</f>
        <v>1000000</v>
      </c>
      <c r="F15" s="18"/>
      <c r="G15" s="19">
        <f t="shared" ref="G15:G23" si="1">E15-F15</f>
        <v>1000000</v>
      </c>
      <c r="H15" s="24" t="s">
        <v>39</v>
      </c>
      <c r="I15" s="25" t="s">
        <v>40</v>
      </c>
      <c r="J15" s="25" t="s">
        <v>41</v>
      </c>
      <c r="K15" s="12">
        <f>★본부총괄!K15+★서울총괄!K14</f>
        <v>31600000</v>
      </c>
      <c r="L15" s="13">
        <f>500000+★서울총괄!L14+★부산총괄!L14</f>
        <v>30355000</v>
      </c>
      <c r="M15" s="14">
        <f t="shared" si="0"/>
        <v>1245000</v>
      </c>
    </row>
    <row r="16" spans="1:15" ht="18.75" customHeight="1">
      <c r="A16" s="626"/>
      <c r="B16" s="26" t="s">
        <v>42</v>
      </c>
      <c r="C16" s="27" t="s">
        <v>43</v>
      </c>
      <c r="D16" s="28" t="s">
        <v>44</v>
      </c>
      <c r="E16" s="17">
        <f>89200000+★서울총괄!E16</f>
        <v>105710000</v>
      </c>
      <c r="F16" s="18">
        <f>★본부총괄!F16+★서울총괄!F16</f>
        <v>74960430</v>
      </c>
      <c r="G16" s="19">
        <f t="shared" si="1"/>
        <v>30749570</v>
      </c>
      <c r="H16" s="29" t="s">
        <v>45</v>
      </c>
      <c r="I16" s="11" t="s">
        <v>46</v>
      </c>
      <c r="J16" s="30" t="s">
        <v>47</v>
      </c>
      <c r="K16" s="12">
        <f>★서울총괄!K16+★부산총괄!K16</f>
        <v>108613000</v>
      </c>
      <c r="L16" s="31">
        <f>★서울총괄!L16+★부산총괄!L16</f>
        <v>101367920</v>
      </c>
      <c r="M16" s="14">
        <f t="shared" si="0"/>
        <v>7245080</v>
      </c>
    </row>
    <row r="17" spans="1:16" ht="18.75" customHeight="1">
      <c r="A17" s="626"/>
      <c r="B17" s="26" t="s">
        <v>48</v>
      </c>
      <c r="C17" s="27" t="s">
        <v>49</v>
      </c>
      <c r="D17" s="32" t="s">
        <v>50</v>
      </c>
      <c r="E17" s="17">
        <f>10000000+★서울총괄!E17+★부산총괄!E17</f>
        <v>88000000</v>
      </c>
      <c r="F17" s="18">
        <f>★본부총괄!F17+★서울총괄!F17+★부산총괄!F17</f>
        <v>77065189</v>
      </c>
      <c r="G17" s="19">
        <f t="shared" si="1"/>
        <v>10934811</v>
      </c>
      <c r="H17" s="29"/>
      <c r="I17" s="11"/>
      <c r="J17" s="25" t="s">
        <v>51</v>
      </c>
      <c r="K17" s="12">
        <v>3000000</v>
      </c>
      <c r="L17" s="13">
        <v>3000000</v>
      </c>
      <c r="M17" s="14">
        <f t="shared" si="0"/>
        <v>0</v>
      </c>
    </row>
    <row r="18" spans="1:16" ht="18.75" customHeight="1">
      <c r="A18" s="626"/>
      <c r="B18" s="26" t="s">
        <v>52</v>
      </c>
      <c r="C18" s="27" t="s">
        <v>53</v>
      </c>
      <c r="D18" s="32" t="s">
        <v>41</v>
      </c>
      <c r="E18" s="17"/>
      <c r="F18" s="18">
        <f>★본부총괄!F18</f>
        <v>500000</v>
      </c>
      <c r="G18" s="19">
        <f t="shared" si="1"/>
        <v>-500000</v>
      </c>
      <c r="H18" s="29" t="s">
        <v>54</v>
      </c>
      <c r="I18" s="11" t="s">
        <v>55</v>
      </c>
      <c r="J18" s="25" t="s">
        <v>56</v>
      </c>
      <c r="K18" s="12">
        <f>★본부총괄!K17+★서울총괄!K18+★부산총괄!K18</f>
        <v>30246013</v>
      </c>
      <c r="L18" s="13">
        <f>45790641+★서울총괄!L18+★부산총괄!L18</f>
        <v>51781298</v>
      </c>
      <c r="M18" s="14">
        <f t="shared" si="0"/>
        <v>-21535285</v>
      </c>
    </row>
    <row r="19" spans="1:16" ht="18.75" customHeight="1">
      <c r="A19" s="626"/>
      <c r="B19" s="26" t="s">
        <v>57</v>
      </c>
      <c r="C19" s="27" t="s">
        <v>58</v>
      </c>
      <c r="D19" s="27" t="s">
        <v>58</v>
      </c>
      <c r="E19" s="17">
        <f>4000000+★서울총괄!E19+★부산총괄!E19</f>
        <v>4020000</v>
      </c>
      <c r="F19" s="18">
        <f>★본부총괄!F19+★서울총괄!F19+★부산총괄!F19</f>
        <v>5500388</v>
      </c>
      <c r="G19" s="19">
        <f t="shared" si="1"/>
        <v>-1480388</v>
      </c>
      <c r="H19" s="24" t="s">
        <v>59</v>
      </c>
      <c r="I19" s="25" t="s">
        <v>60</v>
      </c>
      <c r="J19" s="25" t="s">
        <v>61</v>
      </c>
      <c r="K19" s="12">
        <f>★본부총괄!K18+★서울총괄!K20+★부산총괄!K21</f>
        <v>17405000</v>
      </c>
      <c r="L19" s="13">
        <f>8955010+1765+★서울총괄!L20+★서울총괄!L21+★부산총괄!L21</f>
        <v>12753228</v>
      </c>
      <c r="M19" s="14">
        <f t="shared" si="0"/>
        <v>4651772</v>
      </c>
    </row>
    <row r="20" spans="1:16" ht="18.75" customHeight="1">
      <c r="A20" s="626"/>
      <c r="B20" s="23" t="s">
        <v>62</v>
      </c>
      <c r="C20" s="10" t="s">
        <v>63</v>
      </c>
      <c r="D20" s="10" t="s">
        <v>64</v>
      </c>
      <c r="E20" s="33">
        <f>1543852+★서울총괄!E20</f>
        <v>1543852</v>
      </c>
      <c r="F20" s="13"/>
      <c r="G20" s="19">
        <f t="shared" si="1"/>
        <v>1543852</v>
      </c>
      <c r="H20" s="29" t="s">
        <v>65</v>
      </c>
      <c r="I20" s="11" t="s">
        <v>66</v>
      </c>
      <c r="J20" s="11" t="s">
        <v>67</v>
      </c>
      <c r="K20" s="12">
        <v>3200000</v>
      </c>
      <c r="L20" s="13">
        <v>3714678</v>
      </c>
      <c r="M20" s="14">
        <f t="shared" si="0"/>
        <v>-514678</v>
      </c>
    </row>
    <row r="21" spans="1:16" ht="18.75" customHeight="1">
      <c r="A21" s="626"/>
      <c r="B21" s="23" t="s">
        <v>68</v>
      </c>
      <c r="C21" s="10" t="s">
        <v>69</v>
      </c>
      <c r="D21" s="10" t="s">
        <v>70</v>
      </c>
      <c r="E21" s="34">
        <v>3200000</v>
      </c>
      <c r="F21" s="35">
        <f>★본부총괄!F21</f>
        <v>3063681</v>
      </c>
      <c r="G21" s="19">
        <f t="shared" si="1"/>
        <v>136319</v>
      </c>
      <c r="H21" s="36" t="s">
        <v>71</v>
      </c>
      <c r="I21" s="37" t="s">
        <v>72</v>
      </c>
      <c r="J21" s="37" t="s">
        <v>73</v>
      </c>
      <c r="K21" s="38"/>
      <c r="L21" s="35">
        <v>2573780</v>
      </c>
      <c r="M21" s="39">
        <f t="shared" si="0"/>
        <v>-2573780</v>
      </c>
    </row>
    <row r="22" spans="1:16" ht="18.75" customHeight="1">
      <c r="A22" s="40"/>
      <c r="B22" s="41" t="s">
        <v>74</v>
      </c>
      <c r="C22" s="42" t="s">
        <v>75</v>
      </c>
      <c r="D22" s="42" t="s">
        <v>73</v>
      </c>
      <c r="E22" s="43"/>
      <c r="F22" s="13">
        <f>★본부총괄!F22</f>
        <v>73520</v>
      </c>
      <c r="G22" s="19">
        <f t="shared" si="1"/>
        <v>-73520</v>
      </c>
      <c r="H22" s="44"/>
      <c r="I22" s="11"/>
      <c r="J22" s="45"/>
      <c r="K22" s="12"/>
      <c r="L22" s="13"/>
      <c r="M22" s="46"/>
    </row>
    <row r="23" spans="1:16" ht="18.75" customHeight="1" thickBot="1">
      <c r="A23" s="40"/>
      <c r="B23" s="47" t="s">
        <v>76</v>
      </c>
      <c r="C23" s="9" t="s">
        <v>77</v>
      </c>
      <c r="D23" s="9" t="s">
        <v>78</v>
      </c>
      <c r="E23" s="48"/>
      <c r="F23" s="49">
        <f>★본부총괄!F23+★서울총괄!F21+★부산총괄!F20</f>
        <v>42248104</v>
      </c>
      <c r="G23" s="19">
        <f t="shared" si="1"/>
        <v>-42248104</v>
      </c>
      <c r="H23" s="50"/>
      <c r="I23" s="51"/>
      <c r="J23" s="51"/>
      <c r="K23" s="52"/>
      <c r="L23" s="49"/>
      <c r="M23" s="53"/>
    </row>
    <row r="24" spans="1:16" ht="18.75" customHeight="1" thickTop="1" thickBot="1">
      <c r="A24" s="54"/>
      <c r="B24" s="55" t="s">
        <v>79</v>
      </c>
      <c r="C24" s="56"/>
      <c r="D24" s="56"/>
      <c r="E24" s="57">
        <f>SUM(E10:E23)</f>
        <v>337004013</v>
      </c>
      <c r="F24" s="57">
        <f>SUM(F10:F23)</f>
        <v>333182197</v>
      </c>
      <c r="G24" s="57">
        <f>SUM(G10:G23)</f>
        <v>3821816</v>
      </c>
      <c r="H24" s="58" t="s">
        <v>79</v>
      </c>
      <c r="I24" s="59"/>
      <c r="J24" s="59"/>
      <c r="K24" s="57">
        <f>SUM(K10:K21)</f>
        <v>337004013</v>
      </c>
      <c r="L24" s="57">
        <f>SUM(L10:L21)</f>
        <v>333182197</v>
      </c>
      <c r="M24" s="60">
        <f>SUM(M10:M21)</f>
        <v>3821816</v>
      </c>
      <c r="P24" s="3"/>
    </row>
    <row r="25" spans="1:16" ht="18" customHeight="1">
      <c r="A25" s="601" t="s">
        <v>80</v>
      </c>
      <c r="B25" s="583" t="s">
        <v>17</v>
      </c>
      <c r="C25" s="61" t="s">
        <v>18</v>
      </c>
      <c r="D25" s="61" t="s">
        <v>81</v>
      </c>
      <c r="E25" s="62">
        <f>1241625240+★서울총괄!E23+★부산총괄!E23+★울산총괄!E23</f>
        <v>4085089115</v>
      </c>
      <c r="F25" s="62">
        <f>★본부총괄!F25+★서울총괄!F23+★부산총괄!F23+★울산총괄!F23</f>
        <v>3949379056</v>
      </c>
      <c r="G25" s="63">
        <f>E25-F25</f>
        <v>135710059</v>
      </c>
      <c r="H25" s="583" t="s">
        <v>82</v>
      </c>
      <c r="I25" s="585" t="s">
        <v>83</v>
      </c>
      <c r="J25" s="585" t="s">
        <v>84</v>
      </c>
      <c r="K25" s="594">
        <f>1596042960+812014000+1040725230</f>
        <v>3448782190</v>
      </c>
      <c r="L25" s="594">
        <f>★본부총괄!L25+★서울총괄!L23+★부산총괄!L23+★울산총괄!L23</f>
        <v>3289453529</v>
      </c>
      <c r="M25" s="595">
        <f>K25-L25</f>
        <v>159328661</v>
      </c>
      <c r="P25" s="3"/>
    </row>
    <row r="26" spans="1:16" ht="18" customHeight="1">
      <c r="A26" s="602"/>
      <c r="B26" s="583"/>
      <c r="C26" s="64" t="s">
        <v>24</v>
      </c>
      <c r="D26" s="64" t="s">
        <v>85</v>
      </c>
      <c r="E26" s="65">
        <f>10230000+★서울총괄!E24+★부산총괄!E24+★울산총괄!E24</f>
        <v>35101570</v>
      </c>
      <c r="F26" s="65">
        <f>★본부총괄!F26+★서울총괄!F24+★부산총괄!F24+★울산총괄!F24</f>
        <v>22449642</v>
      </c>
      <c r="G26" s="63">
        <f>E26-F26</f>
        <v>12651928</v>
      </c>
      <c r="H26" s="575"/>
      <c r="I26" s="577"/>
      <c r="J26" s="577"/>
      <c r="K26" s="579"/>
      <c r="L26" s="579"/>
      <c r="M26" s="596"/>
      <c r="P26" s="3"/>
    </row>
    <row r="27" spans="1:16" ht="18" customHeight="1">
      <c r="A27" s="602"/>
      <c r="B27" s="589"/>
      <c r="C27" s="64" t="s">
        <v>31</v>
      </c>
      <c r="D27" s="64" t="s">
        <v>86</v>
      </c>
      <c r="E27" s="65">
        <f>130661000+★서울총괄!E25+★부산총괄!E25+★울산총괄!E25</f>
        <v>628023425</v>
      </c>
      <c r="F27" s="65">
        <f>★본부총괄!F27+★서울총괄!F25+★부산총괄!F25+★울산총괄!F25</f>
        <v>514059882</v>
      </c>
      <c r="G27" s="67">
        <f>E27-F27</f>
        <v>113963543</v>
      </c>
      <c r="H27" s="582" t="s">
        <v>87</v>
      </c>
      <c r="I27" s="584" t="s">
        <v>88</v>
      </c>
      <c r="J27" s="15" t="s">
        <v>89</v>
      </c>
      <c r="K27" s="68">
        <f>879211000+★울산총괄!K25</f>
        <v>1074811000</v>
      </c>
      <c r="L27" s="68">
        <f>★부산총괄!L25+★울산총괄!L25</f>
        <v>1074811000</v>
      </c>
      <c r="M27" s="69">
        <f t="shared" ref="M27:M37" si="2">K27-L27</f>
        <v>0</v>
      </c>
      <c r="P27" s="3"/>
    </row>
    <row r="28" spans="1:16" ht="27">
      <c r="A28" s="602"/>
      <c r="B28" s="70" t="s">
        <v>90</v>
      </c>
      <c r="C28" s="64" t="s">
        <v>37</v>
      </c>
      <c r="D28" s="64" t="s">
        <v>91</v>
      </c>
      <c r="E28" s="65">
        <f>23256000+★서울총괄!E26+★부산총괄!E26+★울산총괄!E26</f>
        <v>628083429</v>
      </c>
      <c r="F28" s="65">
        <f>★본부총괄!F28+★서울총괄!F26+★부산총괄!F26+★울산총괄!F26</f>
        <v>561038804</v>
      </c>
      <c r="G28" s="67">
        <f>E28-F28</f>
        <v>67044625</v>
      </c>
      <c r="H28" s="583"/>
      <c r="I28" s="585"/>
      <c r="J28" s="71" t="s">
        <v>92</v>
      </c>
      <c r="K28" s="72">
        <f>57432000+1552400210+1370374000+★울산총괄!K26</f>
        <v>3005627210</v>
      </c>
      <c r="L28" s="72">
        <f>★본부총괄!L28+★서울총괄!L26+★부산총괄!L26+★울산총괄!L26</f>
        <v>3005929000</v>
      </c>
      <c r="M28" s="73">
        <f t="shared" si="2"/>
        <v>-301790</v>
      </c>
      <c r="P28" s="3"/>
    </row>
    <row r="29" spans="1:16" ht="18" customHeight="1">
      <c r="A29" s="602"/>
      <c r="B29" s="574" t="s">
        <v>93</v>
      </c>
      <c r="C29" s="576" t="s">
        <v>94</v>
      </c>
      <c r="D29" s="576" t="s">
        <v>44</v>
      </c>
      <c r="E29" s="578">
        <f>704773240+★서울총괄!E27+★부산총괄!E27+★울산총괄!E28</f>
        <v>5622979325</v>
      </c>
      <c r="F29" s="578">
        <f>★본부총괄!F29+★서울총괄!F27+★부산총괄!F27+★울산총괄!F28</f>
        <v>5013136765</v>
      </c>
      <c r="G29" s="599">
        <f>E29-F29</f>
        <v>609842560</v>
      </c>
      <c r="H29" s="583"/>
      <c r="I29" s="585"/>
      <c r="J29" s="15" t="s">
        <v>95</v>
      </c>
      <c r="K29" s="68">
        <f>402012240+241819520+639979000</f>
        <v>1283810760</v>
      </c>
      <c r="L29" s="68">
        <f>★본부총괄!L29+★서울총괄!L27+★부산총괄!L27</f>
        <v>1281406890</v>
      </c>
      <c r="M29" s="73">
        <f t="shared" si="2"/>
        <v>2403870</v>
      </c>
      <c r="P29" s="3"/>
    </row>
    <row r="30" spans="1:16" ht="18" customHeight="1">
      <c r="A30" s="602"/>
      <c r="B30" s="589"/>
      <c r="C30" s="597"/>
      <c r="D30" s="597"/>
      <c r="E30" s="598"/>
      <c r="F30" s="598"/>
      <c r="G30" s="600"/>
      <c r="H30" s="575"/>
      <c r="I30" s="597"/>
      <c r="J30" s="27" t="s">
        <v>35</v>
      </c>
      <c r="K30" s="74">
        <f>148636820+106100000</f>
        <v>254736820</v>
      </c>
      <c r="L30" s="74">
        <f>★서울총괄!L28+★부산총괄!L28</f>
        <v>236884810</v>
      </c>
      <c r="M30" s="75">
        <f t="shared" si="2"/>
        <v>17852010</v>
      </c>
      <c r="P30" s="3"/>
    </row>
    <row r="31" spans="1:16" ht="18" customHeight="1">
      <c r="A31" s="602"/>
      <c r="B31" s="76" t="s">
        <v>48</v>
      </c>
      <c r="C31" s="77" t="s">
        <v>49</v>
      </c>
      <c r="D31" s="77" t="s">
        <v>96</v>
      </c>
      <c r="E31" s="78">
        <f>★부산총괄!E29</f>
        <v>20000000</v>
      </c>
      <c r="F31" s="78">
        <f>★부산총괄!F29</f>
        <v>20000000</v>
      </c>
      <c r="G31" s="79"/>
      <c r="H31" s="582" t="s">
        <v>39</v>
      </c>
      <c r="I31" s="576" t="s">
        <v>40</v>
      </c>
      <c r="J31" s="27" t="s">
        <v>97</v>
      </c>
      <c r="K31" s="74">
        <f>61200000+163200000+851788210</f>
        <v>1076188210</v>
      </c>
      <c r="L31" s="80">
        <f>★본부총괄!L31+★서울총괄!L29+★부산총괄!L29</f>
        <v>1052985393</v>
      </c>
      <c r="M31" s="75">
        <f t="shared" si="2"/>
        <v>23202817</v>
      </c>
      <c r="P31" s="3"/>
    </row>
    <row r="32" spans="1:16" ht="18" customHeight="1">
      <c r="A32" s="602"/>
      <c r="B32" s="81" t="s">
        <v>98</v>
      </c>
      <c r="C32" s="82" t="s">
        <v>99</v>
      </c>
      <c r="D32" s="82" t="s">
        <v>100</v>
      </c>
      <c r="E32" s="83"/>
      <c r="F32" s="83"/>
      <c r="G32" s="73"/>
      <c r="H32" s="589"/>
      <c r="I32" s="597"/>
      <c r="J32" s="27" t="s">
        <v>101</v>
      </c>
      <c r="K32" s="80">
        <f>130000000+185600000+★울산총괄!K30</f>
        <v>326387140</v>
      </c>
      <c r="L32" s="84">
        <f>★서울총괄!L30+★부산총괄!L30+★울산총괄!L30</f>
        <v>321896362</v>
      </c>
      <c r="M32" s="85">
        <f t="shared" si="2"/>
        <v>4490778</v>
      </c>
      <c r="P32" s="3"/>
    </row>
    <row r="33" spans="1:16" ht="18" customHeight="1">
      <c r="A33" s="602"/>
      <c r="B33" s="86" t="s">
        <v>102</v>
      </c>
      <c r="C33" s="87" t="s">
        <v>103</v>
      </c>
      <c r="D33" s="87" t="s">
        <v>104</v>
      </c>
      <c r="E33" s="88"/>
      <c r="F33" s="88"/>
      <c r="G33" s="89"/>
      <c r="H33" s="90" t="s">
        <v>105</v>
      </c>
      <c r="I33" s="9" t="s">
        <v>106</v>
      </c>
      <c r="J33" s="16" t="s">
        <v>107</v>
      </c>
      <c r="K33" s="33">
        <v>856772</v>
      </c>
      <c r="L33" s="84">
        <f>★부산총괄!L24</f>
        <v>856772</v>
      </c>
      <c r="M33" s="91">
        <f t="shared" si="2"/>
        <v>0</v>
      </c>
      <c r="P33" s="3"/>
    </row>
    <row r="34" spans="1:16" ht="18" customHeight="1">
      <c r="A34" s="602"/>
      <c r="B34" s="81" t="s">
        <v>108</v>
      </c>
      <c r="C34" s="82" t="s">
        <v>109</v>
      </c>
      <c r="D34" s="82" t="s">
        <v>110</v>
      </c>
      <c r="E34" s="83">
        <f>9153210+★서울총괄!E32+★부산총괄!F32</f>
        <v>34072530</v>
      </c>
      <c r="F34" s="83">
        <f>★본부총괄!F34+★서울총괄!F32+★부산총괄!F32</f>
        <v>28667459</v>
      </c>
      <c r="G34" s="92">
        <f t="shared" ref="G34:G39" si="3">E34-F34</f>
        <v>5405071</v>
      </c>
      <c r="H34" s="603" t="s">
        <v>111</v>
      </c>
      <c r="I34" s="605" t="s">
        <v>112</v>
      </c>
      <c r="J34" s="10" t="s">
        <v>113</v>
      </c>
      <c r="K34" s="93">
        <f>1000000+64000000+90000000</f>
        <v>155000000</v>
      </c>
      <c r="L34" s="93">
        <f>★본부총괄!L34+★서울총괄!L32+★부산총괄!L32</f>
        <v>155000000</v>
      </c>
      <c r="M34" s="69">
        <f t="shared" si="2"/>
        <v>0</v>
      </c>
    </row>
    <row r="35" spans="1:16" ht="25.5" customHeight="1">
      <c r="A35" s="602"/>
      <c r="B35" s="81" t="s">
        <v>114</v>
      </c>
      <c r="C35" s="94" t="s">
        <v>63</v>
      </c>
      <c r="D35" s="94" t="s">
        <v>64</v>
      </c>
      <c r="E35" s="95">
        <f>★서울총괄!E33+★부산총괄!E33+★부산총괄!E34</f>
        <v>696823160</v>
      </c>
      <c r="F35" s="95">
        <f>★서울총괄!F33+★부산총괄!F33+★부산총괄!F34</f>
        <v>253952597</v>
      </c>
      <c r="G35" s="92">
        <f t="shared" si="3"/>
        <v>442870563</v>
      </c>
      <c r="H35" s="604"/>
      <c r="I35" s="606"/>
      <c r="J35" s="96" t="s">
        <v>115</v>
      </c>
      <c r="K35" s="74">
        <v>7720000</v>
      </c>
      <c r="L35" s="97">
        <f>★본부총괄!L35</f>
        <v>7720000</v>
      </c>
      <c r="M35" s="98">
        <f t="shared" si="2"/>
        <v>0</v>
      </c>
    </row>
    <row r="36" spans="1:16" ht="27" customHeight="1">
      <c r="A36" s="602"/>
      <c r="B36" s="81" t="s">
        <v>116</v>
      </c>
      <c r="C36" s="82" t="s">
        <v>117</v>
      </c>
      <c r="D36" s="82" t="s">
        <v>118</v>
      </c>
      <c r="E36" s="83">
        <f>18000000</f>
        <v>18000000</v>
      </c>
      <c r="F36" s="83">
        <f>★본부총괄!F36</f>
        <v>18000000</v>
      </c>
      <c r="G36" s="92">
        <f t="shared" si="3"/>
        <v>0</v>
      </c>
      <c r="H36" s="99" t="s">
        <v>119</v>
      </c>
      <c r="I36" s="15" t="s">
        <v>120</v>
      </c>
      <c r="J36" s="100" t="s">
        <v>121</v>
      </c>
      <c r="K36" s="68">
        <f>28028352+418030690+619443657+★울산총괄!K34</f>
        <v>1070338968</v>
      </c>
      <c r="L36" s="68">
        <f>★본부총괄!L36+★서울총괄!L33+★부산총괄!L33+★울산총괄!L34</f>
        <v>1070338990</v>
      </c>
      <c r="M36" s="98">
        <f t="shared" si="2"/>
        <v>-22</v>
      </c>
    </row>
    <row r="37" spans="1:16" ht="22.5" customHeight="1">
      <c r="A37" s="602"/>
      <c r="B37" s="582" t="s">
        <v>122</v>
      </c>
      <c r="C37" s="584" t="s">
        <v>123</v>
      </c>
      <c r="D37" s="101" t="s">
        <v>124</v>
      </c>
      <c r="E37" s="102">
        <v>18000000</v>
      </c>
      <c r="F37" s="102">
        <f>★본부총괄!F37</f>
        <v>18000000</v>
      </c>
      <c r="G37" s="92">
        <f t="shared" si="3"/>
        <v>0</v>
      </c>
      <c r="H37" s="103" t="s">
        <v>125</v>
      </c>
      <c r="I37" s="10" t="s">
        <v>126</v>
      </c>
      <c r="J37" s="10" t="s">
        <v>127</v>
      </c>
      <c r="K37" s="104">
        <f>9983138+54896760+24753586</f>
        <v>89633484</v>
      </c>
      <c r="L37" s="104">
        <f>★본부총괄!L37+★서울총괄!L35+★부산총괄!L36+★울산총괄!L35</f>
        <v>88246140</v>
      </c>
      <c r="M37" s="79">
        <f t="shared" si="2"/>
        <v>1387344</v>
      </c>
    </row>
    <row r="38" spans="1:16" ht="21" customHeight="1">
      <c r="A38" s="602"/>
      <c r="B38" s="583"/>
      <c r="C38" s="585"/>
      <c r="D38" s="94" t="s">
        <v>128</v>
      </c>
      <c r="E38" s="95">
        <v>7720000</v>
      </c>
      <c r="F38" s="95">
        <f>★본부총괄!F38</f>
        <v>12720000</v>
      </c>
      <c r="G38" s="105">
        <f t="shared" si="3"/>
        <v>-5000000</v>
      </c>
      <c r="H38" s="90"/>
      <c r="I38" s="106"/>
      <c r="J38" s="9"/>
      <c r="K38" s="107"/>
      <c r="L38" s="107"/>
      <c r="M38" s="108"/>
    </row>
    <row r="39" spans="1:16" ht="18" customHeight="1" thickBot="1">
      <c r="A39" s="109"/>
      <c r="B39" s="76" t="s">
        <v>129</v>
      </c>
      <c r="C39" s="110" t="s">
        <v>130</v>
      </c>
      <c r="D39" s="77" t="s">
        <v>78</v>
      </c>
      <c r="E39" s="111"/>
      <c r="F39" s="112">
        <f>★본부총괄!F39+★서울총괄!F37+★부산총괄!F38+★울산총괄!F37</f>
        <v>1174124681</v>
      </c>
      <c r="G39" s="113">
        <f t="shared" si="3"/>
        <v>-1174124681</v>
      </c>
      <c r="H39" s="90"/>
      <c r="I39" s="9"/>
      <c r="J39" s="106"/>
      <c r="K39" s="107"/>
      <c r="L39" s="107"/>
      <c r="M39" s="108"/>
    </row>
    <row r="40" spans="1:16" ht="18" thickTop="1" thickBot="1">
      <c r="A40" s="114"/>
      <c r="B40" s="115" t="s">
        <v>79</v>
      </c>
      <c r="C40" s="116"/>
      <c r="D40" s="116"/>
      <c r="E40" s="117">
        <f>SUM(E25:E39)</f>
        <v>11793892554</v>
      </c>
      <c r="F40" s="117">
        <f>SUM(F25:F39)</f>
        <v>11585528886</v>
      </c>
      <c r="G40" s="118">
        <f>SUM(G25:G39)</f>
        <v>208363668</v>
      </c>
      <c r="H40" s="119" t="s">
        <v>79</v>
      </c>
      <c r="I40" s="120"/>
      <c r="J40" s="120"/>
      <c r="K40" s="121">
        <f>SUM(K25:K39)</f>
        <v>11793892554</v>
      </c>
      <c r="L40" s="121">
        <f>SUM(L25:L39)</f>
        <v>11585528886</v>
      </c>
      <c r="M40" s="122">
        <f>SUM(M25:M38)</f>
        <v>208363668</v>
      </c>
    </row>
    <row r="41" spans="1:16">
      <c r="A41" s="586" t="s">
        <v>131</v>
      </c>
      <c r="B41" s="588" t="s">
        <v>17</v>
      </c>
      <c r="C41" s="123" t="s">
        <v>18</v>
      </c>
      <c r="D41" s="123" t="s">
        <v>132</v>
      </c>
      <c r="E41" s="124">
        <f>★서울총괄!E39+★부산총괄!E40</f>
        <v>1306021286</v>
      </c>
      <c r="F41" s="124">
        <f>★서울총괄!F39+★부산총괄!F40</f>
        <v>1278757320</v>
      </c>
      <c r="G41" s="125">
        <f>E41-F41</f>
        <v>27263966</v>
      </c>
      <c r="H41" s="126" t="s">
        <v>133</v>
      </c>
      <c r="I41" s="127" t="s">
        <v>134</v>
      </c>
      <c r="J41" s="127" t="s">
        <v>135</v>
      </c>
      <c r="K41" s="128">
        <f>★서울총괄!K39+★부산총괄!K40</f>
        <v>27560000</v>
      </c>
      <c r="L41" s="128">
        <f>★서울총괄!L39+★부산총괄!L40</f>
        <v>27071725</v>
      </c>
      <c r="M41" s="129">
        <f>K41-L41</f>
        <v>488275</v>
      </c>
    </row>
    <row r="42" spans="1:16">
      <c r="A42" s="587"/>
      <c r="B42" s="583"/>
      <c r="C42" s="64" t="s">
        <v>24</v>
      </c>
      <c r="D42" s="64" t="s">
        <v>136</v>
      </c>
      <c r="E42" s="130">
        <f>★서울총괄!E40+★부산총괄!E41</f>
        <v>120000</v>
      </c>
      <c r="F42" s="130">
        <f>★서울총괄!F40+★부산총괄!F41</f>
        <v>120000</v>
      </c>
      <c r="G42" s="131">
        <f>E42-F42</f>
        <v>0</v>
      </c>
      <c r="H42" s="132" t="s">
        <v>137</v>
      </c>
      <c r="I42" s="15" t="s">
        <v>138</v>
      </c>
      <c r="J42" s="133" t="s">
        <v>139</v>
      </c>
      <c r="K42" s="84">
        <f>★서울총괄!K40+★부산총괄!K41</f>
        <v>451888500</v>
      </c>
      <c r="L42" s="84">
        <f>★서울총괄!L40+★부산총괄!L41</f>
        <v>446702166</v>
      </c>
      <c r="M42" s="134">
        <f>K42-L42</f>
        <v>5186334</v>
      </c>
    </row>
    <row r="43" spans="1:16">
      <c r="A43" s="587"/>
      <c r="B43" s="589"/>
      <c r="C43" s="64" t="s">
        <v>31</v>
      </c>
      <c r="D43" s="64" t="s">
        <v>140</v>
      </c>
      <c r="E43" s="130">
        <f>★서울총괄!E41+★부산총괄!E42</f>
        <v>1103265505</v>
      </c>
      <c r="F43" s="130">
        <f>★서울총괄!F41+★부산총괄!F42</f>
        <v>1138097750</v>
      </c>
      <c r="G43" s="135">
        <f>E43-F43</f>
        <v>-34832245</v>
      </c>
      <c r="H43" s="590" t="s">
        <v>141</v>
      </c>
      <c r="I43" s="592" t="s">
        <v>142</v>
      </c>
      <c r="J43" s="571" t="s">
        <v>107</v>
      </c>
      <c r="K43" s="897">
        <f>★서울총괄!K41+★부산총괄!K42</f>
        <v>740000</v>
      </c>
      <c r="L43" s="897">
        <f>★서울총괄!L42+★부산총괄!L42</f>
        <v>734927</v>
      </c>
      <c r="M43" s="573"/>
    </row>
    <row r="44" spans="1:16">
      <c r="A44" s="587"/>
      <c r="B44" s="574" t="s">
        <v>90</v>
      </c>
      <c r="C44" s="576" t="s">
        <v>37</v>
      </c>
      <c r="D44" s="576" t="s">
        <v>143</v>
      </c>
      <c r="E44" s="578">
        <f>★서울총괄!E42+★부산총괄!E43</f>
        <v>90427000</v>
      </c>
      <c r="F44" s="578">
        <f>★서울총괄!F42+★부산총괄!F43</f>
        <v>51198380</v>
      </c>
      <c r="G44" s="580">
        <f>E44-F44</f>
        <v>39228620</v>
      </c>
      <c r="H44" s="591"/>
      <c r="I44" s="593"/>
      <c r="J44" s="572"/>
      <c r="K44" s="898"/>
      <c r="L44" s="899"/>
      <c r="M44" s="573"/>
    </row>
    <row r="45" spans="1:16">
      <c r="A45" s="587"/>
      <c r="B45" s="575"/>
      <c r="C45" s="577"/>
      <c r="D45" s="577"/>
      <c r="E45" s="579"/>
      <c r="F45" s="579"/>
      <c r="G45" s="581"/>
      <c r="H45" s="47" t="s">
        <v>144</v>
      </c>
      <c r="I45" s="9" t="s">
        <v>145</v>
      </c>
      <c r="J45" s="140" t="s">
        <v>146</v>
      </c>
      <c r="K45" s="45">
        <f>★서울총괄!K43+★부산총괄!K44</f>
        <v>2107879428</v>
      </c>
      <c r="L45" s="45">
        <f>★서울총괄!L43+★부산총괄!L44</f>
        <v>2085924422</v>
      </c>
      <c r="M45" s="141">
        <f>K45-L45</f>
        <v>21955006</v>
      </c>
    </row>
    <row r="46" spans="1:16">
      <c r="A46" s="587"/>
      <c r="B46" s="99" t="s">
        <v>93</v>
      </c>
      <c r="C46" s="15" t="s">
        <v>147</v>
      </c>
      <c r="D46" s="15" t="s">
        <v>44</v>
      </c>
      <c r="E46" s="142">
        <f>★서울총괄!E44+★부산총괄!E45</f>
        <v>1227038722</v>
      </c>
      <c r="F46" s="142">
        <f>★서울총괄!F44+★부산총괄!F45</f>
        <v>1063309827</v>
      </c>
      <c r="G46" s="143">
        <f>E46-F46</f>
        <v>163728895</v>
      </c>
      <c r="H46" s="23" t="s">
        <v>148</v>
      </c>
      <c r="I46" s="10" t="s">
        <v>149</v>
      </c>
      <c r="J46" s="16" t="s">
        <v>150</v>
      </c>
      <c r="K46" s="45">
        <f>★서울총괄!K44+★부산총괄!K45</f>
        <v>79224000</v>
      </c>
      <c r="L46" s="45">
        <f>★서울총괄!L44+★부산총괄!L45</f>
        <v>71329863</v>
      </c>
      <c r="M46" s="141">
        <f t="shared" ref="M46:M51" si="4">K46-L46</f>
        <v>7894137</v>
      </c>
    </row>
    <row r="47" spans="1:16">
      <c r="A47" s="587"/>
      <c r="B47" s="144" t="s">
        <v>151</v>
      </c>
      <c r="C47" s="71" t="s">
        <v>152</v>
      </c>
      <c r="D47" s="71" t="s">
        <v>153</v>
      </c>
      <c r="E47" s="72">
        <f>★서울총괄!E45+★부산총괄!E46</f>
        <v>37530000</v>
      </c>
      <c r="F47" s="145">
        <f>★서울총괄!F45+★부산총괄!F46</f>
        <v>37529230</v>
      </c>
      <c r="G47" s="143">
        <f t="shared" ref="G47:G53" si="5">E47-F47</f>
        <v>770</v>
      </c>
      <c r="H47" s="146" t="s">
        <v>154</v>
      </c>
      <c r="I47" s="10" t="s">
        <v>155</v>
      </c>
      <c r="J47" s="16" t="s">
        <v>113</v>
      </c>
      <c r="K47" s="84">
        <f>★서울총괄!K45+★부산총괄!K46</f>
        <v>1320020</v>
      </c>
      <c r="L47" s="45">
        <f>★서울총괄!L45+★부산총괄!L46</f>
        <v>1320020</v>
      </c>
      <c r="M47" s="141">
        <f t="shared" si="4"/>
        <v>0</v>
      </c>
    </row>
    <row r="48" spans="1:16">
      <c r="A48" s="587"/>
      <c r="B48" s="103" t="s">
        <v>98</v>
      </c>
      <c r="C48" s="10" t="s">
        <v>99</v>
      </c>
      <c r="D48" s="10" t="s">
        <v>100</v>
      </c>
      <c r="E48" s="470">
        <f>★서울총괄!E46+★부산총괄!E47</f>
        <v>0</v>
      </c>
      <c r="F48" s="11"/>
      <c r="G48" s="143">
        <f t="shared" si="5"/>
        <v>0</v>
      </c>
      <c r="H48" s="147" t="s">
        <v>156</v>
      </c>
      <c r="I48" s="71" t="s">
        <v>157</v>
      </c>
      <c r="J48" s="148" t="s">
        <v>158</v>
      </c>
      <c r="K48" s="45">
        <f>★서울총괄!K46+★부산총괄!K47</f>
        <v>0</v>
      </c>
      <c r="L48" s="45">
        <f>★서울총괄!L46+★부산총괄!L47</f>
        <v>0</v>
      </c>
      <c r="M48" s="141">
        <f t="shared" si="4"/>
        <v>0</v>
      </c>
    </row>
    <row r="49" spans="1:13">
      <c r="A49" s="587"/>
      <c r="B49" s="64" t="s">
        <v>108</v>
      </c>
      <c r="C49" s="64" t="s">
        <v>109</v>
      </c>
      <c r="D49" s="149" t="s">
        <v>110</v>
      </c>
      <c r="E49" s="150">
        <f>★서울총괄!E47+★부산총괄!E48</f>
        <v>1312000</v>
      </c>
      <c r="F49" s="151">
        <f>★서울총괄!F47+★부산총괄!F48</f>
        <v>879670</v>
      </c>
      <c r="G49" s="143">
        <f t="shared" si="5"/>
        <v>432330</v>
      </c>
      <c r="H49" s="132" t="s">
        <v>159</v>
      </c>
      <c r="I49" s="15" t="s">
        <v>160</v>
      </c>
      <c r="J49" s="133" t="s">
        <v>161</v>
      </c>
      <c r="K49" s="45">
        <f>★서울총괄!K47+★부산총괄!K48</f>
        <v>12000000</v>
      </c>
      <c r="L49" s="45">
        <f>★서울총괄!L47+★부산총괄!L48</f>
        <v>12000232</v>
      </c>
      <c r="M49" s="141">
        <f t="shared" si="4"/>
        <v>-232</v>
      </c>
    </row>
    <row r="50" spans="1:13">
      <c r="A50" s="587"/>
      <c r="B50" s="70" t="s">
        <v>162</v>
      </c>
      <c r="C50" s="64" t="s">
        <v>163</v>
      </c>
      <c r="D50" s="149" t="s">
        <v>164</v>
      </c>
      <c r="E50" s="151">
        <f>★서울총괄!E48+★부산총괄!E49</f>
        <v>6544927</v>
      </c>
      <c r="F50" s="12">
        <f>★서울총괄!F48+★부산총괄!F49</f>
        <v>5221353</v>
      </c>
      <c r="G50" s="143">
        <f t="shared" si="5"/>
        <v>1323574</v>
      </c>
      <c r="H50" s="147" t="s">
        <v>165</v>
      </c>
      <c r="I50" s="71" t="s">
        <v>166</v>
      </c>
      <c r="J50" s="148" t="s">
        <v>167</v>
      </c>
      <c r="K50" s="45">
        <f>★서울총괄!K48+★부산총괄!K49</f>
        <v>259305337</v>
      </c>
      <c r="L50" s="45">
        <f>★서울총괄!L48+★부산총괄!L49</f>
        <v>259306267</v>
      </c>
      <c r="M50" s="141">
        <f t="shared" si="4"/>
        <v>-930</v>
      </c>
    </row>
    <row r="51" spans="1:13">
      <c r="A51" s="587"/>
      <c r="B51" s="81" t="s">
        <v>168</v>
      </c>
      <c r="C51" s="82" t="s">
        <v>169</v>
      </c>
      <c r="D51" s="82" t="s">
        <v>170</v>
      </c>
      <c r="E51" s="152">
        <f>★서울총괄!E49+★부산총괄!E50</f>
        <v>88568104</v>
      </c>
      <c r="F51" s="153">
        <f>★서울총괄!F49+★부산총괄!F50</f>
        <v>0</v>
      </c>
      <c r="G51" s="143">
        <f t="shared" si="5"/>
        <v>88568104</v>
      </c>
      <c r="H51" s="41" t="s">
        <v>171</v>
      </c>
      <c r="I51" s="42" t="s">
        <v>172</v>
      </c>
      <c r="J51" s="154" t="s">
        <v>173</v>
      </c>
      <c r="K51" s="45">
        <f>★서울총괄!K49+★부산총괄!K50</f>
        <v>12949259</v>
      </c>
      <c r="L51" s="45">
        <f>★서울총괄!L49+★부산총괄!L50</f>
        <v>11374863</v>
      </c>
      <c r="M51" s="141">
        <f t="shared" si="4"/>
        <v>1574396</v>
      </c>
    </row>
    <row r="52" spans="1:13">
      <c r="A52" s="155"/>
      <c r="B52" s="66" t="s">
        <v>174</v>
      </c>
      <c r="C52" s="269" t="s">
        <v>175</v>
      </c>
      <c r="D52" s="269" t="s">
        <v>78</v>
      </c>
      <c r="E52" s="458"/>
      <c r="F52" s="458">
        <f>★서울총괄!F50+★부산총괄!F51</f>
        <v>242024395</v>
      </c>
      <c r="G52" s="895">
        <f t="shared" ref="G52" si="6">E52-F52</f>
        <v>-242024395</v>
      </c>
      <c r="H52" s="41" t="s">
        <v>657</v>
      </c>
      <c r="I52" s="154" t="s">
        <v>658</v>
      </c>
      <c r="J52" s="11" t="s">
        <v>659</v>
      </c>
      <c r="K52" s="45">
        <f>★서울총괄!K50+★부산총괄!K51</f>
        <v>140809000</v>
      </c>
      <c r="L52" s="45">
        <f>★서울총괄!L50+★부산총괄!L51</f>
        <v>137200700</v>
      </c>
      <c r="M52" s="896"/>
    </row>
    <row r="53" spans="1:13" ht="17.25" thickBot="1">
      <c r="A53" s="155"/>
      <c r="B53" s="156"/>
      <c r="C53" s="94"/>
      <c r="D53" s="94"/>
      <c r="E53" s="157"/>
      <c r="F53" s="157"/>
      <c r="G53" s="143"/>
      <c r="H53" s="47" t="s">
        <v>660</v>
      </c>
      <c r="I53" s="9" t="s">
        <v>661</v>
      </c>
      <c r="J53" s="9" t="s">
        <v>664</v>
      </c>
      <c r="K53" s="470">
        <f>★서울총괄!K51+★부산총괄!K52</f>
        <v>767152000</v>
      </c>
      <c r="L53" s="470">
        <f>★서울총괄!L51+★부산총괄!L52</f>
        <v>764172740</v>
      </c>
      <c r="M53" s="158"/>
    </row>
    <row r="54" spans="1:13" ht="18" thickTop="1" thickBot="1">
      <c r="A54" s="159"/>
      <c r="B54" s="160" t="s">
        <v>176</v>
      </c>
      <c r="C54" s="161"/>
      <c r="D54" s="162"/>
      <c r="E54" s="163">
        <f>SUM(E41:E53)</f>
        <v>3860827544</v>
      </c>
      <c r="F54" s="163">
        <f>SUM(F41:F53)</f>
        <v>3817137925</v>
      </c>
      <c r="G54" s="163">
        <f>SUM(G41:G53)</f>
        <v>43689619</v>
      </c>
      <c r="H54" s="164" t="s">
        <v>177</v>
      </c>
      <c r="I54" s="162"/>
      <c r="J54" s="162"/>
      <c r="K54" s="900">
        <f>SUM(K41:K53)</f>
        <v>3860827544</v>
      </c>
      <c r="L54" s="900">
        <f>SUM(L41:L53)</f>
        <v>3817137925</v>
      </c>
      <c r="M54" s="165">
        <f>SUM(M41:M51)</f>
        <v>37096986</v>
      </c>
    </row>
    <row r="55" spans="1:13" ht="17.25" thickBot="1">
      <c r="A55" s="166"/>
      <c r="B55" s="167" t="s">
        <v>178</v>
      </c>
      <c r="C55" s="168"/>
      <c r="D55" s="168"/>
      <c r="E55" s="169">
        <f>E24+E40+E54</f>
        <v>15991724111</v>
      </c>
      <c r="F55" s="169">
        <f>F24+F40+F54</f>
        <v>15735849008</v>
      </c>
      <c r="G55" s="169">
        <f>G24+G40+G54</f>
        <v>255875103</v>
      </c>
      <c r="H55" s="170" t="s">
        <v>178</v>
      </c>
      <c r="I55" s="168"/>
      <c r="J55" s="168"/>
      <c r="K55" s="169">
        <f>K24+K40+K54</f>
        <v>15991724111</v>
      </c>
      <c r="L55" s="169">
        <f>L24+L40+L54</f>
        <v>15735849008</v>
      </c>
      <c r="M55" s="171">
        <f>M24+M40+M54</f>
        <v>249282470</v>
      </c>
    </row>
    <row r="56" spans="1:13">
      <c r="L56" s="855"/>
    </row>
    <row r="57" spans="1:13">
      <c r="L57" s="856"/>
    </row>
    <row r="62" spans="1:13">
      <c r="B62" s="172"/>
    </row>
    <row r="63" spans="1:13">
      <c r="A63" s="173"/>
      <c r="B63" s="174"/>
      <c r="C63" s="174"/>
    </row>
    <row r="64" spans="1:13">
      <c r="B64" s="172" t="s">
        <v>179</v>
      </c>
    </row>
    <row r="65" spans="2:12">
      <c r="B65" s="172"/>
    </row>
    <row r="66" spans="2:12">
      <c r="B66" s="172"/>
    </row>
    <row r="67" spans="2:12">
      <c r="B67" s="172"/>
      <c r="C67" s="175"/>
      <c r="D67" s="175"/>
      <c r="E67" s="175"/>
      <c r="F67" s="175"/>
      <c r="G67" s="175"/>
    </row>
    <row r="68" spans="2:12">
      <c r="B68" s="172"/>
    </row>
    <row r="69" spans="2:12">
      <c r="B69" s="172"/>
    </row>
    <row r="70" spans="2:12">
      <c r="B70" s="172"/>
    </row>
    <row r="71" spans="2:12">
      <c r="B71" s="172"/>
    </row>
    <row r="72" spans="2:12">
      <c r="B72" s="172"/>
    </row>
    <row r="73" spans="2:12">
      <c r="B73" s="172"/>
    </row>
    <row r="74" spans="2:12">
      <c r="B74" s="172"/>
    </row>
    <row r="76" spans="2:12">
      <c r="B76" s="569"/>
      <c r="C76" s="569"/>
      <c r="D76" s="569"/>
      <c r="E76" s="569"/>
      <c r="F76" s="569"/>
      <c r="G76" s="569"/>
      <c r="H76" s="569"/>
      <c r="I76" s="569"/>
      <c r="J76" s="569"/>
      <c r="K76" s="176"/>
      <c r="L76" s="176"/>
    </row>
    <row r="78" spans="2:12">
      <c r="B78" s="570"/>
      <c r="C78" s="570"/>
      <c r="D78" s="570"/>
      <c r="E78" s="570"/>
      <c r="F78" s="570"/>
      <c r="G78" s="570"/>
      <c r="H78" s="570"/>
      <c r="I78" s="570"/>
      <c r="J78" s="570"/>
      <c r="K78" s="177"/>
      <c r="L78" s="177"/>
    </row>
  </sheetData>
  <mergeCells count="74">
    <mergeCell ref="A5:M5"/>
    <mergeCell ref="K43:K44"/>
    <mergeCell ref="L43:L44"/>
    <mergeCell ref="A1:B1"/>
    <mergeCell ref="A2:B2"/>
    <mergeCell ref="C2:D2"/>
    <mergeCell ref="A3:M3"/>
    <mergeCell ref="A4:M4"/>
    <mergeCell ref="A6:M6"/>
    <mergeCell ref="A7:A9"/>
    <mergeCell ref="B7:G7"/>
    <mergeCell ref="H7:M7"/>
    <mergeCell ref="B8:D8"/>
    <mergeCell ref="E8:E9"/>
    <mergeCell ref="F8:F9"/>
    <mergeCell ref="G8:G9"/>
    <mergeCell ref="H8:J8"/>
    <mergeCell ref="K8:K9"/>
    <mergeCell ref="L8:L9"/>
    <mergeCell ref="M8:M9"/>
    <mergeCell ref="A10:A21"/>
    <mergeCell ref="B10:B14"/>
    <mergeCell ref="C10:C11"/>
    <mergeCell ref="E10:E11"/>
    <mergeCell ref="F10:F11"/>
    <mergeCell ref="G10:G11"/>
    <mergeCell ref="H10:H11"/>
    <mergeCell ref="I10:I11"/>
    <mergeCell ref="L10:L11"/>
    <mergeCell ref="M10:M11"/>
    <mergeCell ref="C12:C13"/>
    <mergeCell ref="E12:E13"/>
    <mergeCell ref="F12:F13"/>
    <mergeCell ref="G12:G13"/>
    <mergeCell ref="H12:H13"/>
    <mergeCell ref="I12:I13"/>
    <mergeCell ref="I31:I32"/>
    <mergeCell ref="H34:H35"/>
    <mergeCell ref="I34:I35"/>
    <mergeCell ref="J10:J11"/>
    <mergeCell ref="K10:K11"/>
    <mergeCell ref="L25:L26"/>
    <mergeCell ref="M25:M26"/>
    <mergeCell ref="H27:H30"/>
    <mergeCell ref="I27:I30"/>
    <mergeCell ref="B29:B30"/>
    <mergeCell ref="C29:C30"/>
    <mergeCell ref="D29:D30"/>
    <mergeCell ref="E29:E30"/>
    <mergeCell ref="F29:F30"/>
    <mergeCell ref="G29:G30"/>
    <mergeCell ref="B25:B27"/>
    <mergeCell ref="H25:H26"/>
    <mergeCell ref="I25:I26"/>
    <mergeCell ref="J25:J26"/>
    <mergeCell ref="K25:K26"/>
    <mergeCell ref="B37:B38"/>
    <mergeCell ref="C37:C38"/>
    <mergeCell ref="A41:A51"/>
    <mergeCell ref="B41:B43"/>
    <mergeCell ref="H43:H44"/>
    <mergeCell ref="A25:A38"/>
    <mergeCell ref="H31:H32"/>
    <mergeCell ref="B76:J76"/>
    <mergeCell ref="B78:J78"/>
    <mergeCell ref="J43:J44"/>
    <mergeCell ref="M43:M44"/>
    <mergeCell ref="B44:B45"/>
    <mergeCell ref="C44:C45"/>
    <mergeCell ref="D44:D45"/>
    <mergeCell ref="E44:E45"/>
    <mergeCell ref="F44:F45"/>
    <mergeCell ref="G44:G45"/>
    <mergeCell ref="I43:I44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49" fitToHeight="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6"/>
  <sheetViews>
    <sheetView view="pageBreakPreview" topLeftCell="A4" zoomScaleNormal="100" zoomScaleSheetLayoutView="100" workbookViewId="0">
      <selection activeCell="L20" sqref="L20"/>
    </sheetView>
  </sheetViews>
  <sheetFormatPr defaultRowHeight="16.5"/>
  <cols>
    <col min="1" max="1" width="5" style="1" bestFit="1" customWidth="1"/>
    <col min="2" max="2" width="11.25" style="1" customWidth="1"/>
    <col min="3" max="4" width="16.25" style="1" customWidth="1"/>
    <col min="5" max="6" width="15" style="1" bestFit="1" customWidth="1"/>
    <col min="7" max="7" width="13.625" style="1" bestFit="1" customWidth="1"/>
    <col min="8" max="8" width="16.5" style="1" customWidth="1"/>
    <col min="9" max="10" width="16.25" style="1" customWidth="1"/>
    <col min="11" max="12" width="15" style="1" bestFit="1" customWidth="1"/>
    <col min="13" max="13" width="12.5" style="1" bestFit="1" customWidth="1"/>
    <col min="14" max="256" width="9" style="1"/>
    <col min="257" max="257" width="5" style="1" bestFit="1" customWidth="1"/>
    <col min="258" max="258" width="11.25" style="1" customWidth="1"/>
    <col min="259" max="260" width="16.25" style="1" customWidth="1"/>
    <col min="261" max="262" width="15" style="1" bestFit="1" customWidth="1"/>
    <col min="263" max="263" width="13.625" style="1" bestFit="1" customWidth="1"/>
    <col min="264" max="264" width="16.5" style="1" customWidth="1"/>
    <col min="265" max="266" width="16.25" style="1" customWidth="1"/>
    <col min="267" max="268" width="15" style="1" bestFit="1" customWidth="1"/>
    <col min="269" max="269" width="12.5" style="1" bestFit="1" customWidth="1"/>
    <col min="270" max="512" width="9" style="1"/>
    <col min="513" max="513" width="5" style="1" bestFit="1" customWidth="1"/>
    <col min="514" max="514" width="11.25" style="1" customWidth="1"/>
    <col min="515" max="516" width="16.25" style="1" customWidth="1"/>
    <col min="517" max="518" width="15" style="1" bestFit="1" customWidth="1"/>
    <col min="519" max="519" width="13.625" style="1" bestFit="1" customWidth="1"/>
    <col min="520" max="520" width="16.5" style="1" customWidth="1"/>
    <col min="521" max="522" width="16.25" style="1" customWidth="1"/>
    <col min="523" max="524" width="15" style="1" bestFit="1" customWidth="1"/>
    <col min="525" max="525" width="12.5" style="1" bestFit="1" customWidth="1"/>
    <col min="526" max="768" width="9" style="1"/>
    <col min="769" max="769" width="5" style="1" bestFit="1" customWidth="1"/>
    <col min="770" max="770" width="11.25" style="1" customWidth="1"/>
    <col min="771" max="772" width="16.25" style="1" customWidth="1"/>
    <col min="773" max="774" width="15" style="1" bestFit="1" customWidth="1"/>
    <col min="775" max="775" width="13.625" style="1" bestFit="1" customWidth="1"/>
    <col min="776" max="776" width="16.5" style="1" customWidth="1"/>
    <col min="777" max="778" width="16.25" style="1" customWidth="1"/>
    <col min="779" max="780" width="15" style="1" bestFit="1" customWidth="1"/>
    <col min="781" max="781" width="12.5" style="1" bestFit="1" customWidth="1"/>
    <col min="782" max="1024" width="9" style="1"/>
    <col min="1025" max="1025" width="5" style="1" bestFit="1" customWidth="1"/>
    <col min="1026" max="1026" width="11.25" style="1" customWidth="1"/>
    <col min="1027" max="1028" width="16.25" style="1" customWidth="1"/>
    <col min="1029" max="1030" width="15" style="1" bestFit="1" customWidth="1"/>
    <col min="1031" max="1031" width="13.625" style="1" bestFit="1" customWidth="1"/>
    <col min="1032" max="1032" width="16.5" style="1" customWidth="1"/>
    <col min="1033" max="1034" width="16.25" style="1" customWidth="1"/>
    <col min="1035" max="1036" width="15" style="1" bestFit="1" customWidth="1"/>
    <col min="1037" max="1037" width="12.5" style="1" bestFit="1" customWidth="1"/>
    <col min="1038" max="1280" width="9" style="1"/>
    <col min="1281" max="1281" width="5" style="1" bestFit="1" customWidth="1"/>
    <col min="1282" max="1282" width="11.25" style="1" customWidth="1"/>
    <col min="1283" max="1284" width="16.25" style="1" customWidth="1"/>
    <col min="1285" max="1286" width="15" style="1" bestFit="1" customWidth="1"/>
    <col min="1287" max="1287" width="13.625" style="1" bestFit="1" customWidth="1"/>
    <col min="1288" max="1288" width="16.5" style="1" customWidth="1"/>
    <col min="1289" max="1290" width="16.25" style="1" customWidth="1"/>
    <col min="1291" max="1292" width="15" style="1" bestFit="1" customWidth="1"/>
    <col min="1293" max="1293" width="12.5" style="1" bestFit="1" customWidth="1"/>
    <col min="1294" max="1536" width="9" style="1"/>
    <col min="1537" max="1537" width="5" style="1" bestFit="1" customWidth="1"/>
    <col min="1538" max="1538" width="11.25" style="1" customWidth="1"/>
    <col min="1539" max="1540" width="16.25" style="1" customWidth="1"/>
    <col min="1541" max="1542" width="15" style="1" bestFit="1" customWidth="1"/>
    <col min="1543" max="1543" width="13.625" style="1" bestFit="1" customWidth="1"/>
    <col min="1544" max="1544" width="16.5" style="1" customWidth="1"/>
    <col min="1545" max="1546" width="16.25" style="1" customWidth="1"/>
    <col min="1547" max="1548" width="15" style="1" bestFit="1" customWidth="1"/>
    <col min="1549" max="1549" width="12.5" style="1" bestFit="1" customWidth="1"/>
    <col min="1550" max="1792" width="9" style="1"/>
    <col min="1793" max="1793" width="5" style="1" bestFit="1" customWidth="1"/>
    <col min="1794" max="1794" width="11.25" style="1" customWidth="1"/>
    <col min="1795" max="1796" width="16.25" style="1" customWidth="1"/>
    <col min="1797" max="1798" width="15" style="1" bestFit="1" customWidth="1"/>
    <col min="1799" max="1799" width="13.625" style="1" bestFit="1" customWidth="1"/>
    <col min="1800" max="1800" width="16.5" style="1" customWidth="1"/>
    <col min="1801" max="1802" width="16.25" style="1" customWidth="1"/>
    <col min="1803" max="1804" width="15" style="1" bestFit="1" customWidth="1"/>
    <col min="1805" max="1805" width="12.5" style="1" bestFit="1" customWidth="1"/>
    <col min="1806" max="2048" width="9" style="1"/>
    <col min="2049" max="2049" width="5" style="1" bestFit="1" customWidth="1"/>
    <col min="2050" max="2050" width="11.25" style="1" customWidth="1"/>
    <col min="2051" max="2052" width="16.25" style="1" customWidth="1"/>
    <col min="2053" max="2054" width="15" style="1" bestFit="1" customWidth="1"/>
    <col min="2055" max="2055" width="13.625" style="1" bestFit="1" customWidth="1"/>
    <col min="2056" max="2056" width="16.5" style="1" customWidth="1"/>
    <col min="2057" max="2058" width="16.25" style="1" customWidth="1"/>
    <col min="2059" max="2060" width="15" style="1" bestFit="1" customWidth="1"/>
    <col min="2061" max="2061" width="12.5" style="1" bestFit="1" customWidth="1"/>
    <col min="2062" max="2304" width="9" style="1"/>
    <col min="2305" max="2305" width="5" style="1" bestFit="1" customWidth="1"/>
    <col min="2306" max="2306" width="11.25" style="1" customWidth="1"/>
    <col min="2307" max="2308" width="16.25" style="1" customWidth="1"/>
    <col min="2309" max="2310" width="15" style="1" bestFit="1" customWidth="1"/>
    <col min="2311" max="2311" width="13.625" style="1" bestFit="1" customWidth="1"/>
    <col min="2312" max="2312" width="16.5" style="1" customWidth="1"/>
    <col min="2313" max="2314" width="16.25" style="1" customWidth="1"/>
    <col min="2315" max="2316" width="15" style="1" bestFit="1" customWidth="1"/>
    <col min="2317" max="2317" width="12.5" style="1" bestFit="1" customWidth="1"/>
    <col min="2318" max="2560" width="9" style="1"/>
    <col min="2561" max="2561" width="5" style="1" bestFit="1" customWidth="1"/>
    <col min="2562" max="2562" width="11.25" style="1" customWidth="1"/>
    <col min="2563" max="2564" width="16.25" style="1" customWidth="1"/>
    <col min="2565" max="2566" width="15" style="1" bestFit="1" customWidth="1"/>
    <col min="2567" max="2567" width="13.625" style="1" bestFit="1" customWidth="1"/>
    <col min="2568" max="2568" width="16.5" style="1" customWidth="1"/>
    <col min="2569" max="2570" width="16.25" style="1" customWidth="1"/>
    <col min="2571" max="2572" width="15" style="1" bestFit="1" customWidth="1"/>
    <col min="2573" max="2573" width="12.5" style="1" bestFit="1" customWidth="1"/>
    <col min="2574" max="2816" width="9" style="1"/>
    <col min="2817" max="2817" width="5" style="1" bestFit="1" customWidth="1"/>
    <col min="2818" max="2818" width="11.25" style="1" customWidth="1"/>
    <col min="2819" max="2820" width="16.25" style="1" customWidth="1"/>
    <col min="2821" max="2822" width="15" style="1" bestFit="1" customWidth="1"/>
    <col min="2823" max="2823" width="13.625" style="1" bestFit="1" customWidth="1"/>
    <col min="2824" max="2824" width="16.5" style="1" customWidth="1"/>
    <col min="2825" max="2826" width="16.25" style="1" customWidth="1"/>
    <col min="2827" max="2828" width="15" style="1" bestFit="1" customWidth="1"/>
    <col min="2829" max="2829" width="12.5" style="1" bestFit="1" customWidth="1"/>
    <col min="2830" max="3072" width="9" style="1"/>
    <col min="3073" max="3073" width="5" style="1" bestFit="1" customWidth="1"/>
    <col min="3074" max="3074" width="11.25" style="1" customWidth="1"/>
    <col min="3075" max="3076" width="16.25" style="1" customWidth="1"/>
    <col min="3077" max="3078" width="15" style="1" bestFit="1" customWidth="1"/>
    <col min="3079" max="3079" width="13.625" style="1" bestFit="1" customWidth="1"/>
    <col min="3080" max="3080" width="16.5" style="1" customWidth="1"/>
    <col min="3081" max="3082" width="16.25" style="1" customWidth="1"/>
    <col min="3083" max="3084" width="15" style="1" bestFit="1" customWidth="1"/>
    <col min="3085" max="3085" width="12.5" style="1" bestFit="1" customWidth="1"/>
    <col min="3086" max="3328" width="9" style="1"/>
    <col min="3329" max="3329" width="5" style="1" bestFit="1" customWidth="1"/>
    <col min="3330" max="3330" width="11.25" style="1" customWidth="1"/>
    <col min="3331" max="3332" width="16.25" style="1" customWidth="1"/>
    <col min="3333" max="3334" width="15" style="1" bestFit="1" customWidth="1"/>
    <col min="3335" max="3335" width="13.625" style="1" bestFit="1" customWidth="1"/>
    <col min="3336" max="3336" width="16.5" style="1" customWidth="1"/>
    <col min="3337" max="3338" width="16.25" style="1" customWidth="1"/>
    <col min="3339" max="3340" width="15" style="1" bestFit="1" customWidth="1"/>
    <col min="3341" max="3341" width="12.5" style="1" bestFit="1" customWidth="1"/>
    <col min="3342" max="3584" width="9" style="1"/>
    <col min="3585" max="3585" width="5" style="1" bestFit="1" customWidth="1"/>
    <col min="3586" max="3586" width="11.25" style="1" customWidth="1"/>
    <col min="3587" max="3588" width="16.25" style="1" customWidth="1"/>
    <col min="3589" max="3590" width="15" style="1" bestFit="1" customWidth="1"/>
    <col min="3591" max="3591" width="13.625" style="1" bestFit="1" customWidth="1"/>
    <col min="3592" max="3592" width="16.5" style="1" customWidth="1"/>
    <col min="3593" max="3594" width="16.25" style="1" customWidth="1"/>
    <col min="3595" max="3596" width="15" style="1" bestFit="1" customWidth="1"/>
    <col min="3597" max="3597" width="12.5" style="1" bestFit="1" customWidth="1"/>
    <col min="3598" max="3840" width="9" style="1"/>
    <col min="3841" max="3841" width="5" style="1" bestFit="1" customWidth="1"/>
    <col min="3842" max="3842" width="11.25" style="1" customWidth="1"/>
    <col min="3843" max="3844" width="16.25" style="1" customWidth="1"/>
    <col min="3845" max="3846" width="15" style="1" bestFit="1" customWidth="1"/>
    <col min="3847" max="3847" width="13.625" style="1" bestFit="1" customWidth="1"/>
    <col min="3848" max="3848" width="16.5" style="1" customWidth="1"/>
    <col min="3849" max="3850" width="16.25" style="1" customWidth="1"/>
    <col min="3851" max="3852" width="15" style="1" bestFit="1" customWidth="1"/>
    <col min="3853" max="3853" width="12.5" style="1" bestFit="1" customWidth="1"/>
    <col min="3854" max="4096" width="9" style="1"/>
    <col min="4097" max="4097" width="5" style="1" bestFit="1" customWidth="1"/>
    <col min="4098" max="4098" width="11.25" style="1" customWidth="1"/>
    <col min="4099" max="4100" width="16.25" style="1" customWidth="1"/>
    <col min="4101" max="4102" width="15" style="1" bestFit="1" customWidth="1"/>
    <col min="4103" max="4103" width="13.625" style="1" bestFit="1" customWidth="1"/>
    <col min="4104" max="4104" width="16.5" style="1" customWidth="1"/>
    <col min="4105" max="4106" width="16.25" style="1" customWidth="1"/>
    <col min="4107" max="4108" width="15" style="1" bestFit="1" customWidth="1"/>
    <col min="4109" max="4109" width="12.5" style="1" bestFit="1" customWidth="1"/>
    <col min="4110" max="4352" width="9" style="1"/>
    <col min="4353" max="4353" width="5" style="1" bestFit="1" customWidth="1"/>
    <col min="4354" max="4354" width="11.25" style="1" customWidth="1"/>
    <col min="4355" max="4356" width="16.25" style="1" customWidth="1"/>
    <col min="4357" max="4358" width="15" style="1" bestFit="1" customWidth="1"/>
    <col min="4359" max="4359" width="13.625" style="1" bestFit="1" customWidth="1"/>
    <col min="4360" max="4360" width="16.5" style="1" customWidth="1"/>
    <col min="4361" max="4362" width="16.25" style="1" customWidth="1"/>
    <col min="4363" max="4364" width="15" style="1" bestFit="1" customWidth="1"/>
    <col min="4365" max="4365" width="12.5" style="1" bestFit="1" customWidth="1"/>
    <col min="4366" max="4608" width="9" style="1"/>
    <col min="4609" max="4609" width="5" style="1" bestFit="1" customWidth="1"/>
    <col min="4610" max="4610" width="11.25" style="1" customWidth="1"/>
    <col min="4611" max="4612" width="16.25" style="1" customWidth="1"/>
    <col min="4613" max="4614" width="15" style="1" bestFit="1" customWidth="1"/>
    <col min="4615" max="4615" width="13.625" style="1" bestFit="1" customWidth="1"/>
    <col min="4616" max="4616" width="16.5" style="1" customWidth="1"/>
    <col min="4617" max="4618" width="16.25" style="1" customWidth="1"/>
    <col min="4619" max="4620" width="15" style="1" bestFit="1" customWidth="1"/>
    <col min="4621" max="4621" width="12.5" style="1" bestFit="1" customWidth="1"/>
    <col min="4622" max="4864" width="9" style="1"/>
    <col min="4865" max="4865" width="5" style="1" bestFit="1" customWidth="1"/>
    <col min="4866" max="4866" width="11.25" style="1" customWidth="1"/>
    <col min="4867" max="4868" width="16.25" style="1" customWidth="1"/>
    <col min="4869" max="4870" width="15" style="1" bestFit="1" customWidth="1"/>
    <col min="4871" max="4871" width="13.625" style="1" bestFit="1" customWidth="1"/>
    <col min="4872" max="4872" width="16.5" style="1" customWidth="1"/>
    <col min="4873" max="4874" width="16.25" style="1" customWidth="1"/>
    <col min="4875" max="4876" width="15" style="1" bestFit="1" customWidth="1"/>
    <col min="4877" max="4877" width="12.5" style="1" bestFit="1" customWidth="1"/>
    <col min="4878" max="5120" width="9" style="1"/>
    <col min="5121" max="5121" width="5" style="1" bestFit="1" customWidth="1"/>
    <col min="5122" max="5122" width="11.25" style="1" customWidth="1"/>
    <col min="5123" max="5124" width="16.25" style="1" customWidth="1"/>
    <col min="5125" max="5126" width="15" style="1" bestFit="1" customWidth="1"/>
    <col min="5127" max="5127" width="13.625" style="1" bestFit="1" customWidth="1"/>
    <col min="5128" max="5128" width="16.5" style="1" customWidth="1"/>
    <col min="5129" max="5130" width="16.25" style="1" customWidth="1"/>
    <col min="5131" max="5132" width="15" style="1" bestFit="1" customWidth="1"/>
    <col min="5133" max="5133" width="12.5" style="1" bestFit="1" customWidth="1"/>
    <col min="5134" max="5376" width="9" style="1"/>
    <col min="5377" max="5377" width="5" style="1" bestFit="1" customWidth="1"/>
    <col min="5378" max="5378" width="11.25" style="1" customWidth="1"/>
    <col min="5379" max="5380" width="16.25" style="1" customWidth="1"/>
    <col min="5381" max="5382" width="15" style="1" bestFit="1" customWidth="1"/>
    <col min="5383" max="5383" width="13.625" style="1" bestFit="1" customWidth="1"/>
    <col min="5384" max="5384" width="16.5" style="1" customWidth="1"/>
    <col min="5385" max="5386" width="16.25" style="1" customWidth="1"/>
    <col min="5387" max="5388" width="15" style="1" bestFit="1" customWidth="1"/>
    <col min="5389" max="5389" width="12.5" style="1" bestFit="1" customWidth="1"/>
    <col min="5390" max="5632" width="9" style="1"/>
    <col min="5633" max="5633" width="5" style="1" bestFit="1" customWidth="1"/>
    <col min="5634" max="5634" width="11.25" style="1" customWidth="1"/>
    <col min="5635" max="5636" width="16.25" style="1" customWidth="1"/>
    <col min="5637" max="5638" width="15" style="1" bestFit="1" customWidth="1"/>
    <col min="5639" max="5639" width="13.625" style="1" bestFit="1" customWidth="1"/>
    <col min="5640" max="5640" width="16.5" style="1" customWidth="1"/>
    <col min="5641" max="5642" width="16.25" style="1" customWidth="1"/>
    <col min="5643" max="5644" width="15" style="1" bestFit="1" customWidth="1"/>
    <col min="5645" max="5645" width="12.5" style="1" bestFit="1" customWidth="1"/>
    <col min="5646" max="5888" width="9" style="1"/>
    <col min="5889" max="5889" width="5" style="1" bestFit="1" customWidth="1"/>
    <col min="5890" max="5890" width="11.25" style="1" customWidth="1"/>
    <col min="5891" max="5892" width="16.25" style="1" customWidth="1"/>
    <col min="5893" max="5894" width="15" style="1" bestFit="1" customWidth="1"/>
    <col min="5895" max="5895" width="13.625" style="1" bestFit="1" customWidth="1"/>
    <col min="5896" max="5896" width="16.5" style="1" customWidth="1"/>
    <col min="5897" max="5898" width="16.25" style="1" customWidth="1"/>
    <col min="5899" max="5900" width="15" style="1" bestFit="1" customWidth="1"/>
    <col min="5901" max="5901" width="12.5" style="1" bestFit="1" customWidth="1"/>
    <col min="5902" max="6144" width="9" style="1"/>
    <col min="6145" max="6145" width="5" style="1" bestFit="1" customWidth="1"/>
    <col min="6146" max="6146" width="11.25" style="1" customWidth="1"/>
    <col min="6147" max="6148" width="16.25" style="1" customWidth="1"/>
    <col min="6149" max="6150" width="15" style="1" bestFit="1" customWidth="1"/>
    <col min="6151" max="6151" width="13.625" style="1" bestFit="1" customWidth="1"/>
    <col min="6152" max="6152" width="16.5" style="1" customWidth="1"/>
    <col min="6153" max="6154" width="16.25" style="1" customWidth="1"/>
    <col min="6155" max="6156" width="15" style="1" bestFit="1" customWidth="1"/>
    <col min="6157" max="6157" width="12.5" style="1" bestFit="1" customWidth="1"/>
    <col min="6158" max="6400" width="9" style="1"/>
    <col min="6401" max="6401" width="5" style="1" bestFit="1" customWidth="1"/>
    <col min="6402" max="6402" width="11.25" style="1" customWidth="1"/>
    <col min="6403" max="6404" width="16.25" style="1" customWidth="1"/>
    <col min="6405" max="6406" width="15" style="1" bestFit="1" customWidth="1"/>
    <col min="6407" max="6407" width="13.625" style="1" bestFit="1" customWidth="1"/>
    <col min="6408" max="6408" width="16.5" style="1" customWidth="1"/>
    <col min="6409" max="6410" width="16.25" style="1" customWidth="1"/>
    <col min="6411" max="6412" width="15" style="1" bestFit="1" customWidth="1"/>
    <col min="6413" max="6413" width="12.5" style="1" bestFit="1" customWidth="1"/>
    <col min="6414" max="6656" width="9" style="1"/>
    <col min="6657" max="6657" width="5" style="1" bestFit="1" customWidth="1"/>
    <col min="6658" max="6658" width="11.25" style="1" customWidth="1"/>
    <col min="6659" max="6660" width="16.25" style="1" customWidth="1"/>
    <col min="6661" max="6662" width="15" style="1" bestFit="1" customWidth="1"/>
    <col min="6663" max="6663" width="13.625" style="1" bestFit="1" customWidth="1"/>
    <col min="6664" max="6664" width="16.5" style="1" customWidth="1"/>
    <col min="6665" max="6666" width="16.25" style="1" customWidth="1"/>
    <col min="6667" max="6668" width="15" style="1" bestFit="1" customWidth="1"/>
    <col min="6669" max="6669" width="12.5" style="1" bestFit="1" customWidth="1"/>
    <col min="6670" max="6912" width="9" style="1"/>
    <col min="6913" max="6913" width="5" style="1" bestFit="1" customWidth="1"/>
    <col min="6914" max="6914" width="11.25" style="1" customWidth="1"/>
    <col min="6915" max="6916" width="16.25" style="1" customWidth="1"/>
    <col min="6917" max="6918" width="15" style="1" bestFit="1" customWidth="1"/>
    <col min="6919" max="6919" width="13.625" style="1" bestFit="1" customWidth="1"/>
    <col min="6920" max="6920" width="16.5" style="1" customWidth="1"/>
    <col min="6921" max="6922" width="16.25" style="1" customWidth="1"/>
    <col min="6923" max="6924" width="15" style="1" bestFit="1" customWidth="1"/>
    <col min="6925" max="6925" width="12.5" style="1" bestFit="1" customWidth="1"/>
    <col min="6926" max="7168" width="9" style="1"/>
    <col min="7169" max="7169" width="5" style="1" bestFit="1" customWidth="1"/>
    <col min="7170" max="7170" width="11.25" style="1" customWidth="1"/>
    <col min="7171" max="7172" width="16.25" style="1" customWidth="1"/>
    <col min="7173" max="7174" width="15" style="1" bestFit="1" customWidth="1"/>
    <col min="7175" max="7175" width="13.625" style="1" bestFit="1" customWidth="1"/>
    <col min="7176" max="7176" width="16.5" style="1" customWidth="1"/>
    <col min="7177" max="7178" width="16.25" style="1" customWidth="1"/>
    <col min="7179" max="7180" width="15" style="1" bestFit="1" customWidth="1"/>
    <col min="7181" max="7181" width="12.5" style="1" bestFit="1" customWidth="1"/>
    <col min="7182" max="7424" width="9" style="1"/>
    <col min="7425" max="7425" width="5" style="1" bestFit="1" customWidth="1"/>
    <col min="7426" max="7426" width="11.25" style="1" customWidth="1"/>
    <col min="7427" max="7428" width="16.25" style="1" customWidth="1"/>
    <col min="7429" max="7430" width="15" style="1" bestFit="1" customWidth="1"/>
    <col min="7431" max="7431" width="13.625" style="1" bestFit="1" customWidth="1"/>
    <col min="7432" max="7432" width="16.5" style="1" customWidth="1"/>
    <col min="7433" max="7434" width="16.25" style="1" customWidth="1"/>
    <col min="7435" max="7436" width="15" style="1" bestFit="1" customWidth="1"/>
    <col min="7437" max="7437" width="12.5" style="1" bestFit="1" customWidth="1"/>
    <col min="7438" max="7680" width="9" style="1"/>
    <col min="7681" max="7681" width="5" style="1" bestFit="1" customWidth="1"/>
    <col min="7682" max="7682" width="11.25" style="1" customWidth="1"/>
    <col min="7683" max="7684" width="16.25" style="1" customWidth="1"/>
    <col min="7685" max="7686" width="15" style="1" bestFit="1" customWidth="1"/>
    <col min="7687" max="7687" width="13.625" style="1" bestFit="1" customWidth="1"/>
    <col min="7688" max="7688" width="16.5" style="1" customWidth="1"/>
    <col min="7689" max="7690" width="16.25" style="1" customWidth="1"/>
    <col min="7691" max="7692" width="15" style="1" bestFit="1" customWidth="1"/>
    <col min="7693" max="7693" width="12.5" style="1" bestFit="1" customWidth="1"/>
    <col min="7694" max="7936" width="9" style="1"/>
    <col min="7937" max="7937" width="5" style="1" bestFit="1" customWidth="1"/>
    <col min="7938" max="7938" width="11.25" style="1" customWidth="1"/>
    <col min="7939" max="7940" width="16.25" style="1" customWidth="1"/>
    <col min="7941" max="7942" width="15" style="1" bestFit="1" customWidth="1"/>
    <col min="7943" max="7943" width="13.625" style="1" bestFit="1" customWidth="1"/>
    <col min="7944" max="7944" width="16.5" style="1" customWidth="1"/>
    <col min="7945" max="7946" width="16.25" style="1" customWidth="1"/>
    <col min="7947" max="7948" width="15" style="1" bestFit="1" customWidth="1"/>
    <col min="7949" max="7949" width="12.5" style="1" bestFit="1" customWidth="1"/>
    <col min="7950" max="8192" width="9" style="1"/>
    <col min="8193" max="8193" width="5" style="1" bestFit="1" customWidth="1"/>
    <col min="8194" max="8194" width="11.25" style="1" customWidth="1"/>
    <col min="8195" max="8196" width="16.25" style="1" customWidth="1"/>
    <col min="8197" max="8198" width="15" style="1" bestFit="1" customWidth="1"/>
    <col min="8199" max="8199" width="13.625" style="1" bestFit="1" customWidth="1"/>
    <col min="8200" max="8200" width="16.5" style="1" customWidth="1"/>
    <col min="8201" max="8202" width="16.25" style="1" customWidth="1"/>
    <col min="8203" max="8204" width="15" style="1" bestFit="1" customWidth="1"/>
    <col min="8205" max="8205" width="12.5" style="1" bestFit="1" customWidth="1"/>
    <col min="8206" max="8448" width="9" style="1"/>
    <col min="8449" max="8449" width="5" style="1" bestFit="1" customWidth="1"/>
    <col min="8450" max="8450" width="11.25" style="1" customWidth="1"/>
    <col min="8451" max="8452" width="16.25" style="1" customWidth="1"/>
    <col min="8453" max="8454" width="15" style="1" bestFit="1" customWidth="1"/>
    <col min="8455" max="8455" width="13.625" style="1" bestFit="1" customWidth="1"/>
    <col min="8456" max="8456" width="16.5" style="1" customWidth="1"/>
    <col min="8457" max="8458" width="16.25" style="1" customWidth="1"/>
    <col min="8459" max="8460" width="15" style="1" bestFit="1" customWidth="1"/>
    <col min="8461" max="8461" width="12.5" style="1" bestFit="1" customWidth="1"/>
    <col min="8462" max="8704" width="9" style="1"/>
    <col min="8705" max="8705" width="5" style="1" bestFit="1" customWidth="1"/>
    <col min="8706" max="8706" width="11.25" style="1" customWidth="1"/>
    <col min="8707" max="8708" width="16.25" style="1" customWidth="1"/>
    <col min="8709" max="8710" width="15" style="1" bestFit="1" customWidth="1"/>
    <col min="8711" max="8711" width="13.625" style="1" bestFit="1" customWidth="1"/>
    <col min="8712" max="8712" width="16.5" style="1" customWidth="1"/>
    <col min="8713" max="8714" width="16.25" style="1" customWidth="1"/>
    <col min="8715" max="8716" width="15" style="1" bestFit="1" customWidth="1"/>
    <col min="8717" max="8717" width="12.5" style="1" bestFit="1" customWidth="1"/>
    <col min="8718" max="8960" width="9" style="1"/>
    <col min="8961" max="8961" width="5" style="1" bestFit="1" customWidth="1"/>
    <col min="8962" max="8962" width="11.25" style="1" customWidth="1"/>
    <col min="8963" max="8964" width="16.25" style="1" customWidth="1"/>
    <col min="8965" max="8966" width="15" style="1" bestFit="1" customWidth="1"/>
    <col min="8967" max="8967" width="13.625" style="1" bestFit="1" customWidth="1"/>
    <col min="8968" max="8968" width="16.5" style="1" customWidth="1"/>
    <col min="8969" max="8970" width="16.25" style="1" customWidth="1"/>
    <col min="8971" max="8972" width="15" style="1" bestFit="1" customWidth="1"/>
    <col min="8973" max="8973" width="12.5" style="1" bestFit="1" customWidth="1"/>
    <col min="8974" max="9216" width="9" style="1"/>
    <col min="9217" max="9217" width="5" style="1" bestFit="1" customWidth="1"/>
    <col min="9218" max="9218" width="11.25" style="1" customWidth="1"/>
    <col min="9219" max="9220" width="16.25" style="1" customWidth="1"/>
    <col min="9221" max="9222" width="15" style="1" bestFit="1" customWidth="1"/>
    <col min="9223" max="9223" width="13.625" style="1" bestFit="1" customWidth="1"/>
    <col min="9224" max="9224" width="16.5" style="1" customWidth="1"/>
    <col min="9225" max="9226" width="16.25" style="1" customWidth="1"/>
    <col min="9227" max="9228" width="15" style="1" bestFit="1" customWidth="1"/>
    <col min="9229" max="9229" width="12.5" style="1" bestFit="1" customWidth="1"/>
    <col min="9230" max="9472" width="9" style="1"/>
    <col min="9473" max="9473" width="5" style="1" bestFit="1" customWidth="1"/>
    <col min="9474" max="9474" width="11.25" style="1" customWidth="1"/>
    <col min="9475" max="9476" width="16.25" style="1" customWidth="1"/>
    <col min="9477" max="9478" width="15" style="1" bestFit="1" customWidth="1"/>
    <col min="9479" max="9479" width="13.625" style="1" bestFit="1" customWidth="1"/>
    <col min="9480" max="9480" width="16.5" style="1" customWidth="1"/>
    <col min="9481" max="9482" width="16.25" style="1" customWidth="1"/>
    <col min="9483" max="9484" width="15" style="1" bestFit="1" customWidth="1"/>
    <col min="9485" max="9485" width="12.5" style="1" bestFit="1" customWidth="1"/>
    <col min="9486" max="9728" width="9" style="1"/>
    <col min="9729" max="9729" width="5" style="1" bestFit="1" customWidth="1"/>
    <col min="9730" max="9730" width="11.25" style="1" customWidth="1"/>
    <col min="9731" max="9732" width="16.25" style="1" customWidth="1"/>
    <col min="9733" max="9734" width="15" style="1" bestFit="1" customWidth="1"/>
    <col min="9735" max="9735" width="13.625" style="1" bestFit="1" customWidth="1"/>
    <col min="9736" max="9736" width="16.5" style="1" customWidth="1"/>
    <col min="9737" max="9738" width="16.25" style="1" customWidth="1"/>
    <col min="9739" max="9740" width="15" style="1" bestFit="1" customWidth="1"/>
    <col min="9741" max="9741" width="12.5" style="1" bestFit="1" customWidth="1"/>
    <col min="9742" max="9984" width="9" style="1"/>
    <col min="9985" max="9985" width="5" style="1" bestFit="1" customWidth="1"/>
    <col min="9986" max="9986" width="11.25" style="1" customWidth="1"/>
    <col min="9987" max="9988" width="16.25" style="1" customWidth="1"/>
    <col min="9989" max="9990" width="15" style="1" bestFit="1" customWidth="1"/>
    <col min="9991" max="9991" width="13.625" style="1" bestFit="1" customWidth="1"/>
    <col min="9992" max="9992" width="16.5" style="1" customWidth="1"/>
    <col min="9993" max="9994" width="16.25" style="1" customWidth="1"/>
    <col min="9995" max="9996" width="15" style="1" bestFit="1" customWidth="1"/>
    <col min="9997" max="9997" width="12.5" style="1" bestFit="1" customWidth="1"/>
    <col min="9998" max="10240" width="9" style="1"/>
    <col min="10241" max="10241" width="5" style="1" bestFit="1" customWidth="1"/>
    <col min="10242" max="10242" width="11.25" style="1" customWidth="1"/>
    <col min="10243" max="10244" width="16.25" style="1" customWidth="1"/>
    <col min="10245" max="10246" width="15" style="1" bestFit="1" customWidth="1"/>
    <col min="10247" max="10247" width="13.625" style="1" bestFit="1" customWidth="1"/>
    <col min="10248" max="10248" width="16.5" style="1" customWidth="1"/>
    <col min="10249" max="10250" width="16.25" style="1" customWidth="1"/>
    <col min="10251" max="10252" width="15" style="1" bestFit="1" customWidth="1"/>
    <col min="10253" max="10253" width="12.5" style="1" bestFit="1" customWidth="1"/>
    <col min="10254" max="10496" width="9" style="1"/>
    <col min="10497" max="10497" width="5" style="1" bestFit="1" customWidth="1"/>
    <col min="10498" max="10498" width="11.25" style="1" customWidth="1"/>
    <col min="10499" max="10500" width="16.25" style="1" customWidth="1"/>
    <col min="10501" max="10502" width="15" style="1" bestFit="1" customWidth="1"/>
    <col min="10503" max="10503" width="13.625" style="1" bestFit="1" customWidth="1"/>
    <col min="10504" max="10504" width="16.5" style="1" customWidth="1"/>
    <col min="10505" max="10506" width="16.25" style="1" customWidth="1"/>
    <col min="10507" max="10508" width="15" style="1" bestFit="1" customWidth="1"/>
    <col min="10509" max="10509" width="12.5" style="1" bestFit="1" customWidth="1"/>
    <col min="10510" max="10752" width="9" style="1"/>
    <col min="10753" max="10753" width="5" style="1" bestFit="1" customWidth="1"/>
    <col min="10754" max="10754" width="11.25" style="1" customWidth="1"/>
    <col min="10755" max="10756" width="16.25" style="1" customWidth="1"/>
    <col min="10757" max="10758" width="15" style="1" bestFit="1" customWidth="1"/>
    <col min="10759" max="10759" width="13.625" style="1" bestFit="1" customWidth="1"/>
    <col min="10760" max="10760" width="16.5" style="1" customWidth="1"/>
    <col min="10761" max="10762" width="16.25" style="1" customWidth="1"/>
    <col min="10763" max="10764" width="15" style="1" bestFit="1" customWidth="1"/>
    <col min="10765" max="10765" width="12.5" style="1" bestFit="1" customWidth="1"/>
    <col min="10766" max="11008" width="9" style="1"/>
    <col min="11009" max="11009" width="5" style="1" bestFit="1" customWidth="1"/>
    <col min="11010" max="11010" width="11.25" style="1" customWidth="1"/>
    <col min="11011" max="11012" width="16.25" style="1" customWidth="1"/>
    <col min="11013" max="11014" width="15" style="1" bestFit="1" customWidth="1"/>
    <col min="11015" max="11015" width="13.625" style="1" bestFit="1" customWidth="1"/>
    <col min="11016" max="11016" width="16.5" style="1" customWidth="1"/>
    <col min="11017" max="11018" width="16.25" style="1" customWidth="1"/>
    <col min="11019" max="11020" width="15" style="1" bestFit="1" customWidth="1"/>
    <col min="11021" max="11021" width="12.5" style="1" bestFit="1" customWidth="1"/>
    <col min="11022" max="11264" width="9" style="1"/>
    <col min="11265" max="11265" width="5" style="1" bestFit="1" customWidth="1"/>
    <col min="11266" max="11266" width="11.25" style="1" customWidth="1"/>
    <col min="11267" max="11268" width="16.25" style="1" customWidth="1"/>
    <col min="11269" max="11270" width="15" style="1" bestFit="1" customWidth="1"/>
    <col min="11271" max="11271" width="13.625" style="1" bestFit="1" customWidth="1"/>
    <col min="11272" max="11272" width="16.5" style="1" customWidth="1"/>
    <col min="11273" max="11274" width="16.25" style="1" customWidth="1"/>
    <col min="11275" max="11276" width="15" style="1" bestFit="1" customWidth="1"/>
    <col min="11277" max="11277" width="12.5" style="1" bestFit="1" customWidth="1"/>
    <col min="11278" max="11520" width="9" style="1"/>
    <col min="11521" max="11521" width="5" style="1" bestFit="1" customWidth="1"/>
    <col min="11522" max="11522" width="11.25" style="1" customWidth="1"/>
    <col min="11523" max="11524" width="16.25" style="1" customWidth="1"/>
    <col min="11525" max="11526" width="15" style="1" bestFit="1" customWidth="1"/>
    <col min="11527" max="11527" width="13.625" style="1" bestFit="1" customWidth="1"/>
    <col min="11528" max="11528" width="16.5" style="1" customWidth="1"/>
    <col min="11529" max="11530" width="16.25" style="1" customWidth="1"/>
    <col min="11531" max="11532" width="15" style="1" bestFit="1" customWidth="1"/>
    <col min="11533" max="11533" width="12.5" style="1" bestFit="1" customWidth="1"/>
    <col min="11534" max="11776" width="9" style="1"/>
    <col min="11777" max="11777" width="5" style="1" bestFit="1" customWidth="1"/>
    <col min="11778" max="11778" width="11.25" style="1" customWidth="1"/>
    <col min="11779" max="11780" width="16.25" style="1" customWidth="1"/>
    <col min="11781" max="11782" width="15" style="1" bestFit="1" customWidth="1"/>
    <col min="11783" max="11783" width="13.625" style="1" bestFit="1" customWidth="1"/>
    <col min="11784" max="11784" width="16.5" style="1" customWidth="1"/>
    <col min="11785" max="11786" width="16.25" style="1" customWidth="1"/>
    <col min="11787" max="11788" width="15" style="1" bestFit="1" customWidth="1"/>
    <col min="11789" max="11789" width="12.5" style="1" bestFit="1" customWidth="1"/>
    <col min="11790" max="12032" width="9" style="1"/>
    <col min="12033" max="12033" width="5" style="1" bestFit="1" customWidth="1"/>
    <col min="12034" max="12034" width="11.25" style="1" customWidth="1"/>
    <col min="12035" max="12036" width="16.25" style="1" customWidth="1"/>
    <col min="12037" max="12038" width="15" style="1" bestFit="1" customWidth="1"/>
    <col min="12039" max="12039" width="13.625" style="1" bestFit="1" customWidth="1"/>
    <col min="12040" max="12040" width="16.5" style="1" customWidth="1"/>
    <col min="12041" max="12042" width="16.25" style="1" customWidth="1"/>
    <col min="12043" max="12044" width="15" style="1" bestFit="1" customWidth="1"/>
    <col min="12045" max="12045" width="12.5" style="1" bestFit="1" customWidth="1"/>
    <col min="12046" max="12288" width="9" style="1"/>
    <col min="12289" max="12289" width="5" style="1" bestFit="1" customWidth="1"/>
    <col min="12290" max="12290" width="11.25" style="1" customWidth="1"/>
    <col min="12291" max="12292" width="16.25" style="1" customWidth="1"/>
    <col min="12293" max="12294" width="15" style="1" bestFit="1" customWidth="1"/>
    <col min="12295" max="12295" width="13.625" style="1" bestFit="1" customWidth="1"/>
    <col min="12296" max="12296" width="16.5" style="1" customWidth="1"/>
    <col min="12297" max="12298" width="16.25" style="1" customWidth="1"/>
    <col min="12299" max="12300" width="15" style="1" bestFit="1" customWidth="1"/>
    <col min="12301" max="12301" width="12.5" style="1" bestFit="1" customWidth="1"/>
    <col min="12302" max="12544" width="9" style="1"/>
    <col min="12545" max="12545" width="5" style="1" bestFit="1" customWidth="1"/>
    <col min="12546" max="12546" width="11.25" style="1" customWidth="1"/>
    <col min="12547" max="12548" width="16.25" style="1" customWidth="1"/>
    <col min="12549" max="12550" width="15" style="1" bestFit="1" customWidth="1"/>
    <col min="12551" max="12551" width="13.625" style="1" bestFit="1" customWidth="1"/>
    <col min="12552" max="12552" width="16.5" style="1" customWidth="1"/>
    <col min="12553" max="12554" width="16.25" style="1" customWidth="1"/>
    <col min="12555" max="12556" width="15" style="1" bestFit="1" customWidth="1"/>
    <col min="12557" max="12557" width="12.5" style="1" bestFit="1" customWidth="1"/>
    <col min="12558" max="12800" width="9" style="1"/>
    <col min="12801" max="12801" width="5" style="1" bestFit="1" customWidth="1"/>
    <col min="12802" max="12802" width="11.25" style="1" customWidth="1"/>
    <col min="12803" max="12804" width="16.25" style="1" customWidth="1"/>
    <col min="12805" max="12806" width="15" style="1" bestFit="1" customWidth="1"/>
    <col min="12807" max="12807" width="13.625" style="1" bestFit="1" customWidth="1"/>
    <col min="12808" max="12808" width="16.5" style="1" customWidth="1"/>
    <col min="12809" max="12810" width="16.25" style="1" customWidth="1"/>
    <col min="12811" max="12812" width="15" style="1" bestFit="1" customWidth="1"/>
    <col min="12813" max="12813" width="12.5" style="1" bestFit="1" customWidth="1"/>
    <col min="12814" max="13056" width="9" style="1"/>
    <col min="13057" max="13057" width="5" style="1" bestFit="1" customWidth="1"/>
    <col min="13058" max="13058" width="11.25" style="1" customWidth="1"/>
    <col min="13059" max="13060" width="16.25" style="1" customWidth="1"/>
    <col min="13061" max="13062" width="15" style="1" bestFit="1" customWidth="1"/>
    <col min="13063" max="13063" width="13.625" style="1" bestFit="1" customWidth="1"/>
    <col min="13064" max="13064" width="16.5" style="1" customWidth="1"/>
    <col min="13065" max="13066" width="16.25" style="1" customWidth="1"/>
    <col min="13067" max="13068" width="15" style="1" bestFit="1" customWidth="1"/>
    <col min="13069" max="13069" width="12.5" style="1" bestFit="1" customWidth="1"/>
    <col min="13070" max="13312" width="9" style="1"/>
    <col min="13313" max="13313" width="5" style="1" bestFit="1" customWidth="1"/>
    <col min="13314" max="13314" width="11.25" style="1" customWidth="1"/>
    <col min="13315" max="13316" width="16.25" style="1" customWidth="1"/>
    <col min="13317" max="13318" width="15" style="1" bestFit="1" customWidth="1"/>
    <col min="13319" max="13319" width="13.625" style="1" bestFit="1" customWidth="1"/>
    <col min="13320" max="13320" width="16.5" style="1" customWidth="1"/>
    <col min="13321" max="13322" width="16.25" style="1" customWidth="1"/>
    <col min="13323" max="13324" width="15" style="1" bestFit="1" customWidth="1"/>
    <col min="13325" max="13325" width="12.5" style="1" bestFit="1" customWidth="1"/>
    <col min="13326" max="13568" width="9" style="1"/>
    <col min="13569" max="13569" width="5" style="1" bestFit="1" customWidth="1"/>
    <col min="13570" max="13570" width="11.25" style="1" customWidth="1"/>
    <col min="13571" max="13572" width="16.25" style="1" customWidth="1"/>
    <col min="13573" max="13574" width="15" style="1" bestFit="1" customWidth="1"/>
    <col min="13575" max="13575" width="13.625" style="1" bestFit="1" customWidth="1"/>
    <col min="13576" max="13576" width="16.5" style="1" customWidth="1"/>
    <col min="13577" max="13578" width="16.25" style="1" customWidth="1"/>
    <col min="13579" max="13580" width="15" style="1" bestFit="1" customWidth="1"/>
    <col min="13581" max="13581" width="12.5" style="1" bestFit="1" customWidth="1"/>
    <col min="13582" max="13824" width="9" style="1"/>
    <col min="13825" max="13825" width="5" style="1" bestFit="1" customWidth="1"/>
    <col min="13826" max="13826" width="11.25" style="1" customWidth="1"/>
    <col min="13827" max="13828" width="16.25" style="1" customWidth="1"/>
    <col min="13829" max="13830" width="15" style="1" bestFit="1" customWidth="1"/>
    <col min="13831" max="13831" width="13.625" style="1" bestFit="1" customWidth="1"/>
    <col min="13832" max="13832" width="16.5" style="1" customWidth="1"/>
    <col min="13833" max="13834" width="16.25" style="1" customWidth="1"/>
    <col min="13835" max="13836" width="15" style="1" bestFit="1" customWidth="1"/>
    <col min="13837" max="13837" width="12.5" style="1" bestFit="1" customWidth="1"/>
    <col min="13838" max="14080" width="9" style="1"/>
    <col min="14081" max="14081" width="5" style="1" bestFit="1" customWidth="1"/>
    <col min="14082" max="14082" width="11.25" style="1" customWidth="1"/>
    <col min="14083" max="14084" width="16.25" style="1" customWidth="1"/>
    <col min="14085" max="14086" width="15" style="1" bestFit="1" customWidth="1"/>
    <col min="14087" max="14087" width="13.625" style="1" bestFit="1" customWidth="1"/>
    <col min="14088" max="14088" width="16.5" style="1" customWidth="1"/>
    <col min="14089" max="14090" width="16.25" style="1" customWidth="1"/>
    <col min="14091" max="14092" width="15" style="1" bestFit="1" customWidth="1"/>
    <col min="14093" max="14093" width="12.5" style="1" bestFit="1" customWidth="1"/>
    <col min="14094" max="14336" width="9" style="1"/>
    <col min="14337" max="14337" width="5" style="1" bestFit="1" customWidth="1"/>
    <col min="14338" max="14338" width="11.25" style="1" customWidth="1"/>
    <col min="14339" max="14340" width="16.25" style="1" customWidth="1"/>
    <col min="14341" max="14342" width="15" style="1" bestFit="1" customWidth="1"/>
    <col min="14343" max="14343" width="13.625" style="1" bestFit="1" customWidth="1"/>
    <col min="14344" max="14344" width="16.5" style="1" customWidth="1"/>
    <col min="14345" max="14346" width="16.25" style="1" customWidth="1"/>
    <col min="14347" max="14348" width="15" style="1" bestFit="1" customWidth="1"/>
    <col min="14349" max="14349" width="12.5" style="1" bestFit="1" customWidth="1"/>
    <col min="14350" max="14592" width="9" style="1"/>
    <col min="14593" max="14593" width="5" style="1" bestFit="1" customWidth="1"/>
    <col min="14594" max="14594" width="11.25" style="1" customWidth="1"/>
    <col min="14595" max="14596" width="16.25" style="1" customWidth="1"/>
    <col min="14597" max="14598" width="15" style="1" bestFit="1" customWidth="1"/>
    <col min="14599" max="14599" width="13.625" style="1" bestFit="1" customWidth="1"/>
    <col min="14600" max="14600" width="16.5" style="1" customWidth="1"/>
    <col min="14601" max="14602" width="16.25" style="1" customWidth="1"/>
    <col min="14603" max="14604" width="15" style="1" bestFit="1" customWidth="1"/>
    <col min="14605" max="14605" width="12.5" style="1" bestFit="1" customWidth="1"/>
    <col min="14606" max="14848" width="9" style="1"/>
    <col min="14849" max="14849" width="5" style="1" bestFit="1" customWidth="1"/>
    <col min="14850" max="14850" width="11.25" style="1" customWidth="1"/>
    <col min="14851" max="14852" width="16.25" style="1" customWidth="1"/>
    <col min="14853" max="14854" width="15" style="1" bestFit="1" customWidth="1"/>
    <col min="14855" max="14855" width="13.625" style="1" bestFit="1" customWidth="1"/>
    <col min="14856" max="14856" width="16.5" style="1" customWidth="1"/>
    <col min="14857" max="14858" width="16.25" style="1" customWidth="1"/>
    <col min="14859" max="14860" width="15" style="1" bestFit="1" customWidth="1"/>
    <col min="14861" max="14861" width="12.5" style="1" bestFit="1" customWidth="1"/>
    <col min="14862" max="15104" width="9" style="1"/>
    <col min="15105" max="15105" width="5" style="1" bestFit="1" customWidth="1"/>
    <col min="15106" max="15106" width="11.25" style="1" customWidth="1"/>
    <col min="15107" max="15108" width="16.25" style="1" customWidth="1"/>
    <col min="15109" max="15110" width="15" style="1" bestFit="1" customWidth="1"/>
    <col min="15111" max="15111" width="13.625" style="1" bestFit="1" customWidth="1"/>
    <col min="15112" max="15112" width="16.5" style="1" customWidth="1"/>
    <col min="15113" max="15114" width="16.25" style="1" customWidth="1"/>
    <col min="15115" max="15116" width="15" style="1" bestFit="1" customWidth="1"/>
    <col min="15117" max="15117" width="12.5" style="1" bestFit="1" customWidth="1"/>
    <col min="15118" max="15360" width="9" style="1"/>
    <col min="15361" max="15361" width="5" style="1" bestFit="1" customWidth="1"/>
    <col min="15362" max="15362" width="11.25" style="1" customWidth="1"/>
    <col min="15363" max="15364" width="16.25" style="1" customWidth="1"/>
    <col min="15365" max="15366" width="15" style="1" bestFit="1" customWidth="1"/>
    <col min="15367" max="15367" width="13.625" style="1" bestFit="1" customWidth="1"/>
    <col min="15368" max="15368" width="16.5" style="1" customWidth="1"/>
    <col min="15369" max="15370" width="16.25" style="1" customWidth="1"/>
    <col min="15371" max="15372" width="15" style="1" bestFit="1" customWidth="1"/>
    <col min="15373" max="15373" width="12.5" style="1" bestFit="1" customWidth="1"/>
    <col min="15374" max="15616" width="9" style="1"/>
    <col min="15617" max="15617" width="5" style="1" bestFit="1" customWidth="1"/>
    <col min="15618" max="15618" width="11.25" style="1" customWidth="1"/>
    <col min="15619" max="15620" width="16.25" style="1" customWidth="1"/>
    <col min="15621" max="15622" width="15" style="1" bestFit="1" customWidth="1"/>
    <col min="15623" max="15623" width="13.625" style="1" bestFit="1" customWidth="1"/>
    <col min="15624" max="15624" width="16.5" style="1" customWidth="1"/>
    <col min="15625" max="15626" width="16.25" style="1" customWidth="1"/>
    <col min="15627" max="15628" width="15" style="1" bestFit="1" customWidth="1"/>
    <col min="15629" max="15629" width="12.5" style="1" bestFit="1" customWidth="1"/>
    <col min="15630" max="15872" width="9" style="1"/>
    <col min="15873" max="15873" width="5" style="1" bestFit="1" customWidth="1"/>
    <col min="15874" max="15874" width="11.25" style="1" customWidth="1"/>
    <col min="15875" max="15876" width="16.25" style="1" customWidth="1"/>
    <col min="15877" max="15878" width="15" style="1" bestFit="1" customWidth="1"/>
    <col min="15879" max="15879" width="13.625" style="1" bestFit="1" customWidth="1"/>
    <col min="15880" max="15880" width="16.5" style="1" customWidth="1"/>
    <col min="15881" max="15882" width="16.25" style="1" customWidth="1"/>
    <col min="15883" max="15884" width="15" style="1" bestFit="1" customWidth="1"/>
    <col min="15885" max="15885" width="12.5" style="1" bestFit="1" customWidth="1"/>
    <col min="15886" max="16128" width="9" style="1"/>
    <col min="16129" max="16129" width="5" style="1" bestFit="1" customWidth="1"/>
    <col min="16130" max="16130" width="11.25" style="1" customWidth="1"/>
    <col min="16131" max="16132" width="16.25" style="1" customWidth="1"/>
    <col min="16133" max="16134" width="15" style="1" bestFit="1" customWidth="1"/>
    <col min="16135" max="16135" width="13.625" style="1" bestFit="1" customWidth="1"/>
    <col min="16136" max="16136" width="16.5" style="1" customWidth="1"/>
    <col min="16137" max="16138" width="16.25" style="1" customWidth="1"/>
    <col min="16139" max="16140" width="15" style="1" bestFit="1" customWidth="1"/>
    <col min="16141" max="16141" width="12.5" style="1" bestFit="1" customWidth="1"/>
    <col min="16142" max="16384" width="9" style="1"/>
  </cols>
  <sheetData>
    <row r="1" spans="1:15" ht="18" customHeight="1">
      <c r="A1" s="647" t="s">
        <v>0</v>
      </c>
      <c r="B1" s="647"/>
    </row>
    <row r="2" spans="1:15" ht="18" customHeight="1">
      <c r="A2" s="648" t="s">
        <v>1</v>
      </c>
      <c r="B2" s="648"/>
      <c r="C2" s="649"/>
      <c r="D2" s="649"/>
      <c r="E2" s="2"/>
      <c r="F2" s="2"/>
    </row>
    <row r="3" spans="1:15" ht="28.5" customHeight="1">
      <c r="A3" s="650" t="s">
        <v>180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</row>
    <row r="4" spans="1:15" ht="30">
      <c r="A4" s="651" t="s">
        <v>3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</row>
    <row r="5" spans="1:15" ht="19.5">
      <c r="A5" s="652" t="s">
        <v>4</v>
      </c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</row>
    <row r="6" spans="1:15" ht="24" customHeight="1" thickBot="1">
      <c r="A6" s="636" t="s">
        <v>5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</row>
    <row r="7" spans="1:15" ht="20.25" customHeight="1">
      <c r="A7" s="625" t="s">
        <v>6</v>
      </c>
      <c r="B7" s="639" t="s">
        <v>7</v>
      </c>
      <c r="C7" s="640"/>
      <c r="D7" s="640"/>
      <c r="E7" s="640"/>
      <c r="F7" s="640"/>
      <c r="G7" s="640"/>
      <c r="H7" s="639" t="s">
        <v>8</v>
      </c>
      <c r="I7" s="640"/>
      <c r="J7" s="640"/>
      <c r="K7" s="640"/>
      <c r="L7" s="640"/>
      <c r="M7" s="641"/>
    </row>
    <row r="8" spans="1:15" ht="20.25" customHeight="1">
      <c r="A8" s="626"/>
      <c r="B8" s="642" t="s">
        <v>9</v>
      </c>
      <c r="C8" s="643"/>
      <c r="D8" s="644"/>
      <c r="E8" s="621" t="s">
        <v>10</v>
      </c>
      <c r="F8" s="621" t="s">
        <v>11</v>
      </c>
      <c r="G8" s="645" t="s">
        <v>12</v>
      </c>
      <c r="H8" s="642" t="s">
        <v>9</v>
      </c>
      <c r="I8" s="643"/>
      <c r="J8" s="644"/>
      <c r="K8" s="621" t="s">
        <v>10</v>
      </c>
      <c r="L8" s="621" t="s">
        <v>11</v>
      </c>
      <c r="M8" s="623" t="s">
        <v>12</v>
      </c>
      <c r="O8" s="3"/>
    </row>
    <row r="9" spans="1:15" ht="20.25" customHeight="1" thickBot="1">
      <c r="A9" s="638"/>
      <c r="B9" s="4" t="s">
        <v>13</v>
      </c>
      <c r="C9" s="5" t="s">
        <v>14</v>
      </c>
      <c r="D9" s="5" t="s">
        <v>15</v>
      </c>
      <c r="E9" s="622"/>
      <c r="F9" s="622"/>
      <c r="G9" s="646"/>
      <c r="H9" s="6" t="s">
        <v>13</v>
      </c>
      <c r="I9" s="7" t="s">
        <v>14</v>
      </c>
      <c r="J9" s="7" t="s">
        <v>15</v>
      </c>
      <c r="K9" s="622"/>
      <c r="L9" s="622"/>
      <c r="M9" s="624"/>
    </row>
    <row r="10" spans="1:15" ht="18.75" customHeight="1">
      <c r="A10" s="625" t="s">
        <v>16</v>
      </c>
      <c r="B10" s="627" t="s">
        <v>17</v>
      </c>
      <c r="C10" s="630" t="s">
        <v>18</v>
      </c>
      <c r="D10" s="8" t="s">
        <v>19</v>
      </c>
      <c r="E10" s="631">
        <f>63051148+200000</f>
        <v>63251148</v>
      </c>
      <c r="F10" s="633">
        <v>60970085</v>
      </c>
      <c r="G10" s="618">
        <f>E10-F10</f>
        <v>2281063</v>
      </c>
      <c r="H10" s="635" t="s">
        <v>20</v>
      </c>
      <c r="I10" s="607" t="s">
        <v>21</v>
      </c>
      <c r="J10" s="607" t="s">
        <v>22</v>
      </c>
      <c r="K10" s="609">
        <v>25000000</v>
      </c>
      <c r="L10" s="611">
        <v>18495923</v>
      </c>
      <c r="M10" s="613">
        <f>K10-L10</f>
        <v>6504077</v>
      </c>
    </row>
    <row r="11" spans="1:15" ht="18.75" customHeight="1">
      <c r="A11" s="626"/>
      <c r="B11" s="628"/>
      <c r="C11" s="593"/>
      <c r="D11" s="9" t="s">
        <v>23</v>
      </c>
      <c r="E11" s="632"/>
      <c r="F11" s="634"/>
      <c r="G11" s="619"/>
      <c r="H11" s="620"/>
      <c r="I11" s="608"/>
      <c r="J11" s="608"/>
      <c r="K11" s="610"/>
      <c r="L11" s="612"/>
      <c r="M11" s="613"/>
    </row>
    <row r="12" spans="1:15" ht="18.75" customHeight="1">
      <c r="A12" s="626"/>
      <c r="B12" s="628"/>
      <c r="C12" s="592" t="s">
        <v>24</v>
      </c>
      <c r="D12" s="10" t="s">
        <v>25</v>
      </c>
      <c r="E12" s="614">
        <v>4400000</v>
      </c>
      <c r="F12" s="616">
        <v>3787700</v>
      </c>
      <c r="G12" s="714">
        <f>E12-F12</f>
        <v>612300</v>
      </c>
      <c r="H12" s="620" t="s">
        <v>26</v>
      </c>
      <c r="I12" s="608" t="s">
        <v>27</v>
      </c>
      <c r="J12" s="11" t="s">
        <v>28</v>
      </c>
      <c r="K12" s="12">
        <v>74640000</v>
      </c>
      <c r="L12" s="13">
        <v>71969641</v>
      </c>
      <c r="M12" s="14">
        <f t="shared" ref="M12:M20" si="0">K12-L12</f>
        <v>2670359</v>
      </c>
    </row>
    <row r="13" spans="1:15" ht="18.75" customHeight="1">
      <c r="A13" s="626"/>
      <c r="B13" s="628"/>
      <c r="C13" s="593"/>
      <c r="D13" s="15" t="s">
        <v>29</v>
      </c>
      <c r="E13" s="615"/>
      <c r="F13" s="617"/>
      <c r="G13" s="714"/>
      <c r="H13" s="620"/>
      <c r="I13" s="608"/>
      <c r="J13" s="11" t="s">
        <v>30</v>
      </c>
      <c r="K13" s="12">
        <v>42100000</v>
      </c>
      <c r="L13" s="13">
        <v>32875560</v>
      </c>
      <c r="M13" s="14">
        <f t="shared" si="0"/>
        <v>9224440</v>
      </c>
    </row>
    <row r="14" spans="1:15" ht="18.75" customHeight="1">
      <c r="A14" s="626"/>
      <c r="B14" s="629"/>
      <c r="C14" s="10" t="s">
        <v>31</v>
      </c>
      <c r="D14" s="16" t="s">
        <v>32</v>
      </c>
      <c r="E14" s="17">
        <v>6691013</v>
      </c>
      <c r="F14" s="18">
        <v>6134784</v>
      </c>
      <c r="G14" s="19">
        <f>E14-F14</f>
        <v>556229</v>
      </c>
      <c r="H14" s="20" t="s">
        <v>33</v>
      </c>
      <c r="I14" s="21" t="s">
        <v>34</v>
      </c>
      <c r="J14" s="22" t="s">
        <v>35</v>
      </c>
      <c r="K14" s="12">
        <v>1200000</v>
      </c>
      <c r="L14" s="13">
        <v>1200000</v>
      </c>
      <c r="M14" s="14">
        <f t="shared" si="0"/>
        <v>0</v>
      </c>
    </row>
    <row r="15" spans="1:15" ht="18.75" customHeight="1">
      <c r="A15" s="626"/>
      <c r="B15" s="23" t="s">
        <v>36</v>
      </c>
      <c r="C15" s="10" t="s">
        <v>37</v>
      </c>
      <c r="D15" s="16" t="s">
        <v>38</v>
      </c>
      <c r="E15" s="17">
        <v>1000000</v>
      </c>
      <c r="F15" s="18">
        <v>0</v>
      </c>
      <c r="G15" s="19">
        <f t="shared" ref="G15:G23" si="1">E15-F15</f>
        <v>1000000</v>
      </c>
      <c r="H15" s="24" t="s">
        <v>39</v>
      </c>
      <c r="I15" s="25" t="s">
        <v>40</v>
      </c>
      <c r="J15" s="25" t="s">
        <v>41</v>
      </c>
      <c r="K15" s="12">
        <v>2000000</v>
      </c>
      <c r="L15" s="13">
        <v>500000</v>
      </c>
      <c r="M15" s="14">
        <f t="shared" si="0"/>
        <v>1500000</v>
      </c>
    </row>
    <row r="16" spans="1:15" ht="18.75" customHeight="1">
      <c r="A16" s="626"/>
      <c r="B16" s="26" t="s">
        <v>42</v>
      </c>
      <c r="C16" s="27" t="s">
        <v>43</v>
      </c>
      <c r="D16" s="28" t="s">
        <v>44</v>
      </c>
      <c r="E16" s="17">
        <v>89200000</v>
      </c>
      <c r="F16" s="18">
        <v>70296440</v>
      </c>
      <c r="G16" s="19">
        <f t="shared" si="1"/>
        <v>18903560</v>
      </c>
      <c r="H16" s="29" t="s">
        <v>45</v>
      </c>
      <c r="I16" s="11" t="s">
        <v>46</v>
      </c>
      <c r="J16" s="25" t="s">
        <v>51</v>
      </c>
      <c r="K16" s="12">
        <v>3000000</v>
      </c>
      <c r="L16" s="13">
        <v>3000000</v>
      </c>
      <c r="M16" s="14">
        <f t="shared" si="0"/>
        <v>0</v>
      </c>
    </row>
    <row r="17" spans="1:16" ht="18.75" customHeight="1">
      <c r="A17" s="626"/>
      <c r="B17" s="26" t="s">
        <v>48</v>
      </c>
      <c r="C17" s="27" t="s">
        <v>49</v>
      </c>
      <c r="D17" s="32" t="s">
        <v>50</v>
      </c>
      <c r="E17" s="17">
        <v>10000000</v>
      </c>
      <c r="F17" s="18">
        <v>9245169</v>
      </c>
      <c r="G17" s="19">
        <f t="shared" si="1"/>
        <v>754831</v>
      </c>
      <c r="H17" s="29" t="s">
        <v>54</v>
      </c>
      <c r="I17" s="11" t="s">
        <v>55</v>
      </c>
      <c r="J17" s="25" t="s">
        <v>56</v>
      </c>
      <c r="K17" s="12">
        <v>20146013</v>
      </c>
      <c r="L17" s="13">
        <v>45790641</v>
      </c>
      <c r="M17" s="14">
        <f t="shared" si="0"/>
        <v>-25644628</v>
      </c>
    </row>
    <row r="18" spans="1:16" ht="18.75" customHeight="1">
      <c r="A18" s="626"/>
      <c r="B18" s="26" t="s">
        <v>52</v>
      </c>
      <c r="C18" s="27" t="s">
        <v>53</v>
      </c>
      <c r="D18" s="32" t="s">
        <v>41</v>
      </c>
      <c r="E18" s="17"/>
      <c r="F18" s="18">
        <v>500000</v>
      </c>
      <c r="G18" s="19">
        <f t="shared" si="1"/>
        <v>-500000</v>
      </c>
      <c r="H18" s="24" t="s">
        <v>59</v>
      </c>
      <c r="I18" s="25" t="s">
        <v>60</v>
      </c>
      <c r="J18" s="25" t="s">
        <v>61</v>
      </c>
      <c r="K18" s="12">
        <v>12000000</v>
      </c>
      <c r="L18" s="13">
        <f>8955010+1765</f>
        <v>8956775</v>
      </c>
      <c r="M18" s="14">
        <f t="shared" si="0"/>
        <v>3043225</v>
      </c>
    </row>
    <row r="19" spans="1:16" ht="18.75" customHeight="1">
      <c r="A19" s="626"/>
      <c r="B19" s="26" t="s">
        <v>181</v>
      </c>
      <c r="C19" s="27" t="s">
        <v>182</v>
      </c>
      <c r="D19" s="27" t="s">
        <v>58</v>
      </c>
      <c r="E19" s="17">
        <v>4000000</v>
      </c>
      <c r="F19" s="18">
        <v>2231960</v>
      </c>
      <c r="G19" s="19">
        <f t="shared" si="1"/>
        <v>1768040</v>
      </c>
      <c r="H19" s="29" t="s">
        <v>65</v>
      </c>
      <c r="I19" s="11" t="s">
        <v>66</v>
      </c>
      <c r="J19" s="11" t="s">
        <v>67</v>
      </c>
      <c r="K19" s="12">
        <v>3200000</v>
      </c>
      <c r="L19" s="13">
        <v>3714678</v>
      </c>
      <c r="M19" s="14">
        <f t="shared" si="0"/>
        <v>-514678</v>
      </c>
    </row>
    <row r="20" spans="1:16" ht="18.75" customHeight="1">
      <c r="A20" s="626"/>
      <c r="B20" s="23" t="s">
        <v>183</v>
      </c>
      <c r="C20" s="10" t="s">
        <v>184</v>
      </c>
      <c r="D20" s="10" t="s">
        <v>64</v>
      </c>
      <c r="E20" s="33">
        <v>1543852</v>
      </c>
      <c r="F20" s="13">
        <v>0</v>
      </c>
      <c r="G20" s="178">
        <f t="shared" si="1"/>
        <v>1543852</v>
      </c>
      <c r="H20" s="36" t="s">
        <v>71</v>
      </c>
      <c r="I20" s="37" t="s">
        <v>72</v>
      </c>
      <c r="J20" s="37" t="s">
        <v>73</v>
      </c>
      <c r="K20" s="38"/>
      <c r="L20" s="35">
        <v>2573780</v>
      </c>
      <c r="M20" s="39">
        <f t="shared" si="0"/>
        <v>-2573780</v>
      </c>
    </row>
    <row r="21" spans="1:16" ht="18.75" customHeight="1">
      <c r="A21" s="626"/>
      <c r="B21" s="23" t="s">
        <v>65</v>
      </c>
      <c r="C21" s="10" t="s">
        <v>66</v>
      </c>
      <c r="D21" s="10" t="s">
        <v>67</v>
      </c>
      <c r="E21" s="34">
        <v>3200000</v>
      </c>
      <c r="F21" s="35">
        <v>3063681</v>
      </c>
      <c r="G21" s="179">
        <f t="shared" si="1"/>
        <v>136319</v>
      </c>
      <c r="H21" s="36"/>
      <c r="I21" s="37"/>
      <c r="J21" s="37"/>
      <c r="K21" s="38"/>
      <c r="L21" s="35"/>
      <c r="M21" s="39"/>
    </row>
    <row r="22" spans="1:16" ht="18.75" customHeight="1">
      <c r="A22" s="40"/>
      <c r="B22" s="41" t="s">
        <v>71</v>
      </c>
      <c r="C22" s="42" t="s">
        <v>72</v>
      </c>
      <c r="D22" s="42" t="s">
        <v>73</v>
      </c>
      <c r="E22" s="43"/>
      <c r="F22" s="13">
        <v>73520</v>
      </c>
      <c r="G22" s="43">
        <f t="shared" si="1"/>
        <v>-73520</v>
      </c>
      <c r="H22" s="29"/>
      <c r="I22" s="11"/>
      <c r="J22" s="11"/>
      <c r="K22" s="12"/>
      <c r="L22" s="13"/>
      <c r="M22" s="46"/>
    </row>
    <row r="23" spans="1:16" ht="18.75" customHeight="1" thickBot="1">
      <c r="A23" s="40"/>
      <c r="B23" s="47" t="s">
        <v>185</v>
      </c>
      <c r="C23" s="9" t="s">
        <v>186</v>
      </c>
      <c r="D23" s="9" t="s">
        <v>78</v>
      </c>
      <c r="E23" s="48"/>
      <c r="F23" s="49">
        <f>32771894+1765</f>
        <v>32773659</v>
      </c>
      <c r="G23" s="180">
        <f t="shared" si="1"/>
        <v>-32773659</v>
      </c>
      <c r="H23" s="50"/>
      <c r="I23" s="51"/>
      <c r="J23" s="51"/>
      <c r="K23" s="52"/>
      <c r="L23" s="49"/>
      <c r="M23" s="53"/>
    </row>
    <row r="24" spans="1:16" ht="18.75" customHeight="1" thickTop="1" thickBot="1">
      <c r="A24" s="54"/>
      <c r="B24" s="55" t="s">
        <v>79</v>
      </c>
      <c r="C24" s="56"/>
      <c r="D24" s="56"/>
      <c r="E24" s="57">
        <f>SUM(E10:E23)</f>
        <v>183286013</v>
      </c>
      <c r="F24" s="57">
        <f>SUM(F10:F23)</f>
        <v>189076998</v>
      </c>
      <c r="G24" s="57">
        <f>SUM(G10:G23)</f>
        <v>-5790985</v>
      </c>
      <c r="H24" s="58" t="s">
        <v>79</v>
      </c>
      <c r="I24" s="59"/>
      <c r="J24" s="59"/>
      <c r="K24" s="57">
        <f>SUM(K10:K21)</f>
        <v>183286013</v>
      </c>
      <c r="L24" s="57">
        <f>SUM(L10:L21)</f>
        <v>189076998</v>
      </c>
      <c r="M24" s="60">
        <f>SUM(M10:M21)</f>
        <v>-5790985</v>
      </c>
      <c r="P24" s="3"/>
    </row>
    <row r="25" spans="1:16" ht="18" customHeight="1">
      <c r="A25" s="601" t="s">
        <v>80</v>
      </c>
      <c r="B25" s="583" t="s">
        <v>17</v>
      </c>
      <c r="C25" s="61" t="s">
        <v>18</v>
      </c>
      <c r="D25" s="61" t="s">
        <v>81</v>
      </c>
      <c r="E25" s="62">
        <v>1241625240</v>
      </c>
      <c r="F25" s="62">
        <v>1195907969</v>
      </c>
      <c r="G25" s="63">
        <f>E25-F25</f>
        <v>45717271</v>
      </c>
      <c r="H25" s="583" t="s">
        <v>82</v>
      </c>
      <c r="I25" s="585" t="s">
        <v>83</v>
      </c>
      <c r="J25" s="585" t="s">
        <v>187</v>
      </c>
      <c r="K25" s="594">
        <v>1596042960</v>
      </c>
      <c r="L25" s="594">
        <v>1527769239</v>
      </c>
      <c r="M25" s="595">
        <f>K25-L25</f>
        <v>68273721</v>
      </c>
      <c r="P25" s="3"/>
    </row>
    <row r="26" spans="1:16" ht="18" customHeight="1">
      <c r="A26" s="602"/>
      <c r="B26" s="583"/>
      <c r="C26" s="64" t="s">
        <v>24</v>
      </c>
      <c r="D26" s="64" t="s">
        <v>85</v>
      </c>
      <c r="E26" s="65">
        <v>10230000</v>
      </c>
      <c r="F26" s="65">
        <v>5124692</v>
      </c>
      <c r="G26" s="63">
        <f>E26-F26</f>
        <v>5105308</v>
      </c>
      <c r="H26" s="575"/>
      <c r="I26" s="577"/>
      <c r="J26" s="577"/>
      <c r="K26" s="579"/>
      <c r="L26" s="579"/>
      <c r="M26" s="596"/>
      <c r="P26" s="3"/>
    </row>
    <row r="27" spans="1:16" ht="18" customHeight="1">
      <c r="A27" s="602"/>
      <c r="B27" s="589"/>
      <c r="C27" s="64" t="s">
        <v>31</v>
      </c>
      <c r="D27" s="64" t="s">
        <v>86</v>
      </c>
      <c r="E27" s="65">
        <v>130661000</v>
      </c>
      <c r="F27" s="65">
        <v>115658193</v>
      </c>
      <c r="G27" s="67">
        <f>E27-F27</f>
        <v>15002807</v>
      </c>
      <c r="H27" s="582" t="s">
        <v>87</v>
      </c>
      <c r="I27" s="584" t="s">
        <v>88</v>
      </c>
      <c r="J27" s="15" t="s">
        <v>89</v>
      </c>
      <c r="K27" s="68"/>
      <c r="L27" s="68"/>
      <c r="M27" s="69">
        <f>K27-L27</f>
        <v>0</v>
      </c>
      <c r="P27" s="3"/>
    </row>
    <row r="28" spans="1:16" ht="18" customHeight="1">
      <c r="A28" s="602"/>
      <c r="B28" s="70" t="s">
        <v>90</v>
      </c>
      <c r="C28" s="64" t="s">
        <v>37</v>
      </c>
      <c r="D28" s="64" t="s">
        <v>91</v>
      </c>
      <c r="E28" s="65">
        <v>23256000</v>
      </c>
      <c r="F28" s="65">
        <v>18326620</v>
      </c>
      <c r="G28" s="67">
        <f>E28-F28</f>
        <v>4929380</v>
      </c>
      <c r="H28" s="583"/>
      <c r="I28" s="585"/>
      <c r="J28" s="71" t="s">
        <v>92</v>
      </c>
      <c r="K28" s="72">
        <v>57432000</v>
      </c>
      <c r="L28" s="72">
        <v>57432000</v>
      </c>
      <c r="M28" s="73">
        <f>K28-L28</f>
        <v>0</v>
      </c>
      <c r="P28" s="3"/>
    </row>
    <row r="29" spans="1:16" ht="18" customHeight="1">
      <c r="A29" s="602"/>
      <c r="B29" s="574" t="s">
        <v>93</v>
      </c>
      <c r="C29" s="576" t="s">
        <v>94</v>
      </c>
      <c r="D29" s="576" t="s">
        <v>188</v>
      </c>
      <c r="E29" s="578">
        <v>704773240</v>
      </c>
      <c r="F29" s="578">
        <f>688214824+48000</f>
        <v>688262824</v>
      </c>
      <c r="G29" s="599">
        <f>E29-F29</f>
        <v>16510416</v>
      </c>
      <c r="H29" s="583"/>
      <c r="I29" s="585"/>
      <c r="J29" s="15" t="s">
        <v>95</v>
      </c>
      <c r="K29" s="68">
        <v>402012240</v>
      </c>
      <c r="L29" s="68">
        <v>402055330</v>
      </c>
      <c r="M29" s="73">
        <f>K29-L29</f>
        <v>-43090</v>
      </c>
      <c r="P29" s="3"/>
    </row>
    <row r="30" spans="1:16" ht="18" customHeight="1">
      <c r="A30" s="602"/>
      <c r="B30" s="589"/>
      <c r="C30" s="597"/>
      <c r="D30" s="597"/>
      <c r="E30" s="598"/>
      <c r="F30" s="598"/>
      <c r="G30" s="600"/>
      <c r="H30" s="575"/>
      <c r="I30" s="597"/>
      <c r="J30" s="27" t="s">
        <v>35</v>
      </c>
      <c r="K30" s="74"/>
      <c r="L30" s="74"/>
      <c r="M30" s="75"/>
      <c r="P30" s="3"/>
    </row>
    <row r="31" spans="1:16" ht="18" customHeight="1">
      <c r="A31" s="602"/>
      <c r="B31" s="76" t="s">
        <v>48</v>
      </c>
      <c r="C31" s="77" t="s">
        <v>49</v>
      </c>
      <c r="D31" s="77" t="s">
        <v>96</v>
      </c>
      <c r="E31" s="78"/>
      <c r="F31" s="78"/>
      <c r="G31" s="79"/>
      <c r="H31" s="582" t="s">
        <v>39</v>
      </c>
      <c r="I31" s="576" t="s">
        <v>40</v>
      </c>
      <c r="J31" s="27" t="s">
        <v>97</v>
      </c>
      <c r="K31" s="74">
        <v>61200000</v>
      </c>
      <c r="L31" s="80">
        <v>69770820</v>
      </c>
      <c r="M31" s="75">
        <f>K31-L31</f>
        <v>-8570820</v>
      </c>
      <c r="P31" s="3"/>
    </row>
    <row r="32" spans="1:16" ht="18" customHeight="1">
      <c r="A32" s="602"/>
      <c r="B32" s="81" t="s">
        <v>98</v>
      </c>
      <c r="C32" s="82" t="s">
        <v>99</v>
      </c>
      <c r="D32" s="82" t="s">
        <v>100</v>
      </c>
      <c r="E32" s="83"/>
      <c r="F32" s="83"/>
      <c r="G32" s="73"/>
      <c r="H32" s="589"/>
      <c r="I32" s="597"/>
      <c r="J32" s="27" t="s">
        <v>101</v>
      </c>
      <c r="K32" s="80"/>
      <c r="L32" s="84"/>
      <c r="M32" s="85"/>
      <c r="P32" s="3"/>
    </row>
    <row r="33" spans="1:16" ht="18" customHeight="1">
      <c r="A33" s="602"/>
      <c r="B33" s="86" t="s">
        <v>102</v>
      </c>
      <c r="C33" s="87" t="s">
        <v>103</v>
      </c>
      <c r="D33" s="87" t="s">
        <v>104</v>
      </c>
      <c r="E33" s="88"/>
      <c r="F33" s="88"/>
      <c r="G33" s="89"/>
      <c r="H33" s="156" t="s">
        <v>189</v>
      </c>
      <c r="I33" s="94" t="s">
        <v>190</v>
      </c>
      <c r="J33" s="16" t="s">
        <v>191</v>
      </c>
      <c r="K33" s="33"/>
      <c r="L33" s="84"/>
      <c r="M33" s="91"/>
      <c r="P33" s="3"/>
    </row>
    <row r="34" spans="1:16" ht="18" customHeight="1">
      <c r="A34" s="602"/>
      <c r="B34" s="81" t="s">
        <v>108</v>
      </c>
      <c r="C34" s="82" t="s">
        <v>109</v>
      </c>
      <c r="D34" s="82" t="s">
        <v>110</v>
      </c>
      <c r="E34" s="83">
        <v>9153210</v>
      </c>
      <c r="F34" s="83">
        <v>8669935</v>
      </c>
      <c r="G34" s="92">
        <f>E34-F34</f>
        <v>483275</v>
      </c>
      <c r="H34" s="574" t="s">
        <v>111</v>
      </c>
      <c r="I34" s="576" t="s">
        <v>112</v>
      </c>
      <c r="J34" s="10" t="s">
        <v>113</v>
      </c>
      <c r="K34" s="93">
        <v>1000000</v>
      </c>
      <c r="L34" s="93">
        <v>1000000</v>
      </c>
      <c r="M34" s="69">
        <f>K34-L34</f>
        <v>0</v>
      </c>
    </row>
    <row r="35" spans="1:16" ht="25.5" customHeight="1">
      <c r="A35" s="602"/>
      <c r="B35" s="81" t="s">
        <v>114</v>
      </c>
      <c r="C35" s="94" t="s">
        <v>63</v>
      </c>
      <c r="D35" s="94" t="s">
        <v>64</v>
      </c>
      <c r="E35" s="95"/>
      <c r="F35" s="95"/>
      <c r="G35" s="113"/>
      <c r="H35" s="589"/>
      <c r="I35" s="597"/>
      <c r="J35" s="96" t="s">
        <v>115</v>
      </c>
      <c r="K35" s="74">
        <v>7720000</v>
      </c>
      <c r="L35" s="97">
        <v>7720000</v>
      </c>
      <c r="M35" s="98">
        <f>K35-L35</f>
        <v>0</v>
      </c>
    </row>
    <row r="36" spans="1:16" ht="27" customHeight="1">
      <c r="A36" s="602"/>
      <c r="B36" s="81" t="s">
        <v>116</v>
      </c>
      <c r="C36" s="82" t="s">
        <v>117</v>
      </c>
      <c r="D36" s="82" t="s">
        <v>118</v>
      </c>
      <c r="E36" s="83">
        <v>18000000</v>
      </c>
      <c r="F36" s="83">
        <v>18000000</v>
      </c>
      <c r="G36" s="92">
        <f>E36-F36</f>
        <v>0</v>
      </c>
      <c r="H36" s="181" t="s">
        <v>119</v>
      </c>
      <c r="I36" s="61" t="s">
        <v>120</v>
      </c>
      <c r="J36" s="100" t="s">
        <v>121</v>
      </c>
      <c r="K36" s="68">
        <v>28028352</v>
      </c>
      <c r="L36" s="68">
        <v>28028352</v>
      </c>
      <c r="M36" s="98">
        <f>K36-L36</f>
        <v>0</v>
      </c>
    </row>
    <row r="37" spans="1:16" ht="22.5" customHeight="1">
      <c r="A37" s="602"/>
      <c r="B37" s="582" t="s">
        <v>122</v>
      </c>
      <c r="C37" s="584" t="s">
        <v>123</v>
      </c>
      <c r="D37" s="101" t="s">
        <v>124</v>
      </c>
      <c r="E37" s="102">
        <v>18000000</v>
      </c>
      <c r="F37" s="102">
        <v>18000000</v>
      </c>
      <c r="G37" s="92">
        <f>E37-F37</f>
        <v>0</v>
      </c>
      <c r="H37" s="574" t="s">
        <v>125</v>
      </c>
      <c r="I37" s="576" t="s">
        <v>126</v>
      </c>
      <c r="J37" s="576" t="s">
        <v>127</v>
      </c>
      <c r="K37" s="578">
        <v>9983138</v>
      </c>
      <c r="L37" s="578">
        <v>10305219</v>
      </c>
      <c r="M37" s="599">
        <f>K37-L37</f>
        <v>-322081</v>
      </c>
    </row>
    <row r="38" spans="1:16" ht="21" customHeight="1">
      <c r="A38" s="602"/>
      <c r="B38" s="583"/>
      <c r="C38" s="585"/>
      <c r="D38" s="94" t="s">
        <v>128</v>
      </c>
      <c r="E38" s="95">
        <v>7720000</v>
      </c>
      <c r="F38" s="95">
        <v>12720000</v>
      </c>
      <c r="G38" s="105">
        <f>E38-F38</f>
        <v>-5000000</v>
      </c>
      <c r="H38" s="583"/>
      <c r="I38" s="585"/>
      <c r="J38" s="585"/>
      <c r="K38" s="594"/>
      <c r="L38" s="594"/>
      <c r="M38" s="595"/>
    </row>
    <row r="39" spans="1:16" ht="18" customHeight="1" thickBot="1">
      <c r="A39" s="109"/>
      <c r="B39" s="76" t="s">
        <v>129</v>
      </c>
      <c r="C39" s="110" t="s">
        <v>130</v>
      </c>
      <c r="D39" s="77" t="s">
        <v>78</v>
      </c>
      <c r="E39" s="111"/>
      <c r="F39" s="112">
        <v>23410727</v>
      </c>
      <c r="G39" s="113">
        <f>E39-F39</f>
        <v>-23410727</v>
      </c>
      <c r="H39" s="712"/>
      <c r="I39" s="713"/>
      <c r="J39" s="713"/>
      <c r="K39" s="708"/>
      <c r="L39" s="708"/>
      <c r="M39" s="709"/>
    </row>
    <row r="40" spans="1:16" ht="18" thickTop="1" thickBot="1">
      <c r="A40" s="114"/>
      <c r="B40" s="115" t="s">
        <v>79</v>
      </c>
      <c r="C40" s="116"/>
      <c r="D40" s="116"/>
      <c r="E40" s="117">
        <f>SUM(E25:E39)</f>
        <v>2163418690</v>
      </c>
      <c r="F40" s="117">
        <f>SUM(F25:F39)</f>
        <v>2104080960</v>
      </c>
      <c r="G40" s="182">
        <f>SUM(G25:G39)</f>
        <v>59337730</v>
      </c>
      <c r="H40" s="183" t="s">
        <v>79</v>
      </c>
      <c r="I40" s="184"/>
      <c r="J40" s="184"/>
      <c r="K40" s="185">
        <f>SUM(K25:K39)</f>
        <v>2163418690</v>
      </c>
      <c r="L40" s="185">
        <f>SUM(L25:L39)</f>
        <v>2104080960</v>
      </c>
      <c r="M40" s="186">
        <f>SUM(M25:M38)</f>
        <v>59337730</v>
      </c>
    </row>
    <row r="41" spans="1:16">
      <c r="A41" s="586" t="s">
        <v>131</v>
      </c>
      <c r="B41" s="588" t="s">
        <v>17</v>
      </c>
      <c r="C41" s="123" t="s">
        <v>18</v>
      </c>
      <c r="D41" s="123" t="s">
        <v>132</v>
      </c>
      <c r="E41" s="187"/>
      <c r="F41" s="187"/>
      <c r="G41" s="188"/>
      <c r="H41" s="126" t="s">
        <v>133</v>
      </c>
      <c r="I41" s="127" t="s">
        <v>134</v>
      </c>
      <c r="J41" s="127" t="s">
        <v>135</v>
      </c>
      <c r="K41" s="189"/>
      <c r="L41" s="189"/>
      <c r="M41" s="190"/>
    </row>
    <row r="42" spans="1:16">
      <c r="A42" s="587"/>
      <c r="B42" s="583"/>
      <c r="C42" s="64" t="s">
        <v>24</v>
      </c>
      <c r="D42" s="64" t="s">
        <v>136</v>
      </c>
      <c r="E42" s="149"/>
      <c r="F42" s="149"/>
      <c r="G42" s="191"/>
      <c r="H42" s="132" t="s">
        <v>26</v>
      </c>
      <c r="I42" s="15" t="s">
        <v>192</v>
      </c>
      <c r="J42" s="133" t="s">
        <v>84</v>
      </c>
      <c r="K42" s="11"/>
      <c r="L42" s="11"/>
      <c r="M42" s="192"/>
    </row>
    <row r="43" spans="1:16">
      <c r="A43" s="587"/>
      <c r="B43" s="589"/>
      <c r="C43" s="64" t="s">
        <v>31</v>
      </c>
      <c r="D43" s="64" t="s">
        <v>140</v>
      </c>
      <c r="E43" s="149"/>
      <c r="F43" s="149"/>
      <c r="G43" s="191"/>
      <c r="H43" s="590" t="s">
        <v>141</v>
      </c>
      <c r="I43" s="592" t="s">
        <v>142</v>
      </c>
      <c r="J43" s="592" t="s">
        <v>107</v>
      </c>
      <c r="K43" s="140"/>
      <c r="L43" s="140"/>
      <c r="M43" s="710"/>
    </row>
    <row r="44" spans="1:16">
      <c r="A44" s="587"/>
      <c r="B44" s="574" t="s">
        <v>90</v>
      </c>
      <c r="C44" s="576" t="s">
        <v>37</v>
      </c>
      <c r="D44" s="576" t="s">
        <v>143</v>
      </c>
      <c r="E44" s="193"/>
      <c r="F44" s="193"/>
      <c r="G44" s="706"/>
      <c r="H44" s="591"/>
      <c r="I44" s="593"/>
      <c r="J44" s="593"/>
      <c r="K44" s="133"/>
      <c r="L44" s="140"/>
      <c r="M44" s="711"/>
    </row>
    <row r="45" spans="1:16">
      <c r="A45" s="587"/>
      <c r="B45" s="575"/>
      <c r="C45" s="577"/>
      <c r="D45" s="577"/>
      <c r="E45" s="194"/>
      <c r="F45" s="194"/>
      <c r="G45" s="707"/>
      <c r="H45" s="47" t="s">
        <v>193</v>
      </c>
      <c r="I45" s="9" t="s">
        <v>194</v>
      </c>
      <c r="J45" s="9" t="s">
        <v>195</v>
      </c>
      <c r="K45" s="140"/>
      <c r="L45" s="11"/>
      <c r="M45" s="195"/>
    </row>
    <row r="46" spans="1:16">
      <c r="A46" s="587"/>
      <c r="B46" s="99" t="s">
        <v>93</v>
      </c>
      <c r="C46" s="15" t="s">
        <v>147</v>
      </c>
      <c r="D46" s="15" t="s">
        <v>188</v>
      </c>
      <c r="E46" s="133"/>
      <c r="F46" s="133"/>
      <c r="G46" s="196"/>
      <c r="H46" s="23" t="s">
        <v>148</v>
      </c>
      <c r="I46" s="10" t="s">
        <v>149</v>
      </c>
      <c r="J46" s="16" t="s">
        <v>150</v>
      </c>
      <c r="K46" s="197"/>
      <c r="L46" s="11"/>
      <c r="M46" s="198"/>
    </row>
    <row r="47" spans="1:16">
      <c r="A47" s="587"/>
      <c r="B47" s="144" t="s">
        <v>196</v>
      </c>
      <c r="C47" s="71" t="s">
        <v>197</v>
      </c>
      <c r="D47" s="71" t="s">
        <v>198</v>
      </c>
      <c r="E47" s="148"/>
      <c r="F47" s="148"/>
      <c r="G47" s="199"/>
      <c r="H47" s="146" t="s">
        <v>199</v>
      </c>
      <c r="I47" s="10" t="s">
        <v>200</v>
      </c>
      <c r="J47" s="10" t="s">
        <v>113</v>
      </c>
      <c r="K47" s="140"/>
      <c r="L47" s="140"/>
      <c r="M47" s="200"/>
    </row>
    <row r="48" spans="1:16">
      <c r="A48" s="587"/>
      <c r="B48" s="103" t="s">
        <v>98</v>
      </c>
      <c r="C48" s="10" t="s">
        <v>99</v>
      </c>
      <c r="D48" s="10" t="s">
        <v>100</v>
      </c>
      <c r="E48" s="140"/>
      <c r="F48" s="11"/>
      <c r="G48" s="201"/>
      <c r="H48" s="147" t="s">
        <v>201</v>
      </c>
      <c r="I48" s="71" t="s">
        <v>202</v>
      </c>
      <c r="J48" s="71" t="s">
        <v>191</v>
      </c>
      <c r="K48" s="148"/>
      <c r="L48" s="148"/>
      <c r="M48" s="202"/>
    </row>
    <row r="49" spans="1:13">
      <c r="A49" s="587"/>
      <c r="B49" s="64" t="s">
        <v>108</v>
      </c>
      <c r="C49" s="64" t="s">
        <v>109</v>
      </c>
      <c r="D49" s="149" t="s">
        <v>110</v>
      </c>
      <c r="E49" s="203"/>
      <c r="F49" s="25"/>
      <c r="G49" s="204"/>
      <c r="H49" s="132" t="s">
        <v>203</v>
      </c>
      <c r="I49" s="15" t="s">
        <v>204</v>
      </c>
      <c r="J49" s="15" t="s">
        <v>47</v>
      </c>
      <c r="K49" s="133"/>
      <c r="L49" s="133"/>
      <c r="M49" s="200"/>
    </row>
    <row r="50" spans="1:13">
      <c r="A50" s="587"/>
      <c r="B50" s="70" t="s">
        <v>162</v>
      </c>
      <c r="C50" s="64" t="s">
        <v>163</v>
      </c>
      <c r="D50" s="149" t="s">
        <v>164</v>
      </c>
      <c r="E50" s="25"/>
      <c r="F50" s="25"/>
      <c r="G50" s="205"/>
      <c r="H50" s="147" t="s">
        <v>205</v>
      </c>
      <c r="I50" s="71" t="s">
        <v>206</v>
      </c>
      <c r="J50" s="71" t="s">
        <v>207</v>
      </c>
      <c r="K50" s="148"/>
      <c r="L50" s="148"/>
      <c r="M50" s="202"/>
    </row>
    <row r="51" spans="1:13" ht="17.25" thickBot="1">
      <c r="A51" s="587"/>
      <c r="B51" s="76" t="s">
        <v>208</v>
      </c>
      <c r="C51" s="77" t="s">
        <v>209</v>
      </c>
      <c r="D51" s="77" t="s">
        <v>64</v>
      </c>
      <c r="E51" s="206"/>
      <c r="F51" s="206"/>
      <c r="G51" s="207"/>
      <c r="H51" s="208" t="s">
        <v>210</v>
      </c>
      <c r="I51" s="209" t="s">
        <v>211</v>
      </c>
      <c r="J51" s="209" t="s">
        <v>212</v>
      </c>
      <c r="K51" s="140"/>
      <c r="L51" s="140"/>
      <c r="M51" s="200"/>
    </row>
    <row r="52" spans="1:13" ht="18" thickTop="1" thickBot="1">
      <c r="A52" s="159"/>
      <c r="B52" s="160" t="s">
        <v>213</v>
      </c>
      <c r="C52" s="161"/>
      <c r="D52" s="162"/>
      <c r="E52" s="210"/>
      <c r="F52" s="210"/>
      <c r="G52" s="211">
        <f>SUM(G41:G51)</f>
        <v>0</v>
      </c>
      <c r="H52" s="164" t="s">
        <v>213</v>
      </c>
      <c r="I52" s="162"/>
      <c r="J52" s="162"/>
      <c r="K52" s="210"/>
      <c r="L52" s="210"/>
      <c r="M52" s="165">
        <f>SUM(M41:M51)</f>
        <v>0</v>
      </c>
    </row>
    <row r="53" spans="1:13" ht="17.25" thickBot="1">
      <c r="A53" s="166"/>
      <c r="B53" s="167" t="s">
        <v>178</v>
      </c>
      <c r="C53" s="168"/>
      <c r="D53" s="168"/>
      <c r="E53" s="169">
        <f>SUM(E24,E40)</f>
        <v>2346704703</v>
      </c>
      <c r="F53" s="169">
        <f>SUM(F24,F40)</f>
        <v>2293157958</v>
      </c>
      <c r="G53" s="169">
        <f>SUM(G24,G40)</f>
        <v>53546745</v>
      </c>
      <c r="H53" s="170" t="s">
        <v>178</v>
      </c>
      <c r="I53" s="168"/>
      <c r="J53" s="168"/>
      <c r="K53" s="169">
        <f>SUM(K24,K40)</f>
        <v>2346704703</v>
      </c>
      <c r="L53" s="169">
        <f>SUM(L24,L40)</f>
        <v>2293157958</v>
      </c>
      <c r="M53" s="212">
        <f>SUM(M24,M40)</f>
        <v>53546745</v>
      </c>
    </row>
    <row r="60" spans="1:13">
      <c r="B60" s="172"/>
    </row>
    <row r="61" spans="1:13">
      <c r="A61" s="173"/>
      <c r="B61" s="174"/>
      <c r="C61" s="174"/>
    </row>
    <row r="62" spans="1:13">
      <c r="B62" s="172" t="s">
        <v>179</v>
      </c>
    </row>
    <row r="63" spans="1:13">
      <c r="B63" s="172"/>
    </row>
    <row r="64" spans="1:13">
      <c r="B64" s="172"/>
    </row>
    <row r="65" spans="2:12">
      <c r="B65" s="172"/>
      <c r="C65" s="175"/>
      <c r="D65" s="175"/>
      <c r="E65" s="175"/>
      <c r="F65" s="175"/>
      <c r="G65" s="175"/>
    </row>
    <row r="66" spans="2:12">
      <c r="B66" s="172"/>
    </row>
    <row r="67" spans="2:12">
      <c r="B67" s="172"/>
    </row>
    <row r="68" spans="2:12">
      <c r="B68" s="172"/>
    </row>
    <row r="69" spans="2:12">
      <c r="B69" s="172"/>
    </row>
    <row r="70" spans="2:12">
      <c r="B70" s="172"/>
    </row>
    <row r="71" spans="2:12">
      <c r="B71" s="172"/>
    </row>
    <row r="72" spans="2:12">
      <c r="B72" s="172"/>
    </row>
    <row r="74" spans="2:12">
      <c r="B74" s="569"/>
      <c r="C74" s="569"/>
      <c r="D74" s="569"/>
      <c r="E74" s="569"/>
      <c r="F74" s="569"/>
      <c r="G74" s="569"/>
      <c r="H74" s="569"/>
      <c r="I74" s="569"/>
      <c r="J74" s="569"/>
      <c r="K74" s="176"/>
      <c r="L74" s="176"/>
    </row>
    <row r="76" spans="2:12">
      <c r="B76" s="570"/>
      <c r="C76" s="570"/>
      <c r="D76" s="570"/>
      <c r="E76" s="570"/>
      <c r="F76" s="570"/>
      <c r="G76" s="570"/>
      <c r="H76" s="570"/>
      <c r="I76" s="570"/>
      <c r="J76" s="570"/>
      <c r="K76" s="177"/>
      <c r="L76" s="177"/>
    </row>
  </sheetData>
  <mergeCells count="76">
    <mergeCell ref="A5:M5"/>
    <mergeCell ref="A1:B1"/>
    <mergeCell ref="A2:B2"/>
    <mergeCell ref="C2:D2"/>
    <mergeCell ref="A3:M3"/>
    <mergeCell ref="A4:M4"/>
    <mergeCell ref="A6:M6"/>
    <mergeCell ref="A7:A9"/>
    <mergeCell ref="B7:G7"/>
    <mergeCell ref="H7:M7"/>
    <mergeCell ref="B8:D8"/>
    <mergeCell ref="E8:E9"/>
    <mergeCell ref="F8:F9"/>
    <mergeCell ref="G8:G9"/>
    <mergeCell ref="H8:J8"/>
    <mergeCell ref="K8:K9"/>
    <mergeCell ref="L8:L9"/>
    <mergeCell ref="M8:M9"/>
    <mergeCell ref="A10:A21"/>
    <mergeCell ref="B10:B14"/>
    <mergeCell ref="C10:C11"/>
    <mergeCell ref="E10:E11"/>
    <mergeCell ref="F10:F11"/>
    <mergeCell ref="G10:G11"/>
    <mergeCell ref="H10:H11"/>
    <mergeCell ref="I10:I11"/>
    <mergeCell ref="K10:K11"/>
    <mergeCell ref="L10:L11"/>
    <mergeCell ref="M10:M11"/>
    <mergeCell ref="C12:C13"/>
    <mergeCell ref="E12:E13"/>
    <mergeCell ref="F12:F13"/>
    <mergeCell ref="G12:G13"/>
    <mergeCell ref="H12:H13"/>
    <mergeCell ref="I12:I13"/>
    <mergeCell ref="H31:H32"/>
    <mergeCell ref="I31:I32"/>
    <mergeCell ref="H34:H35"/>
    <mergeCell ref="I34:I35"/>
    <mergeCell ref="J10:J11"/>
    <mergeCell ref="L25:L26"/>
    <mergeCell ref="M25:M26"/>
    <mergeCell ref="H27:H30"/>
    <mergeCell ref="I27:I30"/>
    <mergeCell ref="B29:B30"/>
    <mergeCell ref="C29:C30"/>
    <mergeCell ref="D29:D30"/>
    <mergeCell ref="E29:E30"/>
    <mergeCell ref="F29:F30"/>
    <mergeCell ref="G29:G30"/>
    <mergeCell ref="B25:B27"/>
    <mergeCell ref="H25:H26"/>
    <mergeCell ref="I25:I26"/>
    <mergeCell ref="J25:J26"/>
    <mergeCell ref="K25:K26"/>
    <mergeCell ref="M37:M39"/>
    <mergeCell ref="A41:A51"/>
    <mergeCell ref="B41:B43"/>
    <mergeCell ref="H43:H44"/>
    <mergeCell ref="I43:I44"/>
    <mergeCell ref="J43:J44"/>
    <mergeCell ref="M43:M44"/>
    <mergeCell ref="B44:B45"/>
    <mergeCell ref="C44:C45"/>
    <mergeCell ref="B37:B38"/>
    <mergeCell ref="C37:C38"/>
    <mergeCell ref="H37:H39"/>
    <mergeCell ref="I37:I39"/>
    <mergeCell ref="J37:J39"/>
    <mergeCell ref="K37:K39"/>
    <mergeCell ref="A25:A38"/>
    <mergeCell ref="D44:D45"/>
    <mergeCell ref="G44:G45"/>
    <mergeCell ref="B74:J74"/>
    <mergeCell ref="B76:J76"/>
    <mergeCell ref="L37:L3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4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3"/>
  <sheetViews>
    <sheetView view="pageBreakPreview" zoomScaleNormal="100" zoomScaleSheetLayoutView="100" workbookViewId="0">
      <selection activeCell="A3" sqref="A3:H3"/>
    </sheetView>
  </sheetViews>
  <sheetFormatPr defaultRowHeight="16.5"/>
  <cols>
    <col min="1" max="1" width="6.375" style="1" customWidth="1"/>
    <col min="2" max="2" width="8.75" style="1" customWidth="1"/>
    <col min="3" max="3" width="14" style="1" customWidth="1"/>
    <col min="4" max="4" width="5.625" style="1" customWidth="1"/>
    <col min="5" max="5" width="14.25" style="505" customWidth="1"/>
    <col min="6" max="6" width="17.375" style="506" bestFit="1" customWidth="1"/>
    <col min="7" max="7" width="14.25" style="506" customWidth="1"/>
    <col min="8" max="8" width="15.375" style="505" customWidth="1"/>
    <col min="9" max="9" width="13.25" style="1" customWidth="1"/>
    <col min="10" max="256" width="9" style="1"/>
    <col min="257" max="257" width="6.375" style="1" customWidth="1"/>
    <col min="258" max="258" width="8.75" style="1" customWidth="1"/>
    <col min="259" max="259" width="14" style="1" customWidth="1"/>
    <col min="260" max="260" width="5.625" style="1" customWidth="1"/>
    <col min="261" max="261" width="14.25" style="1" customWidth="1"/>
    <col min="262" max="262" width="17.375" style="1" bestFit="1" customWidth="1"/>
    <col min="263" max="263" width="14.25" style="1" customWidth="1"/>
    <col min="264" max="264" width="15.375" style="1" customWidth="1"/>
    <col min="265" max="265" width="13.25" style="1" customWidth="1"/>
    <col min="266" max="512" width="9" style="1"/>
    <col min="513" max="513" width="6.375" style="1" customWidth="1"/>
    <col min="514" max="514" width="8.75" style="1" customWidth="1"/>
    <col min="515" max="515" width="14" style="1" customWidth="1"/>
    <col min="516" max="516" width="5.625" style="1" customWidth="1"/>
    <col min="517" max="517" width="14.25" style="1" customWidth="1"/>
    <col min="518" max="518" width="17.375" style="1" bestFit="1" customWidth="1"/>
    <col min="519" max="519" width="14.25" style="1" customWidth="1"/>
    <col min="520" max="520" width="15.375" style="1" customWidth="1"/>
    <col min="521" max="521" width="13.25" style="1" customWidth="1"/>
    <col min="522" max="768" width="9" style="1"/>
    <col min="769" max="769" width="6.375" style="1" customWidth="1"/>
    <col min="770" max="770" width="8.75" style="1" customWidth="1"/>
    <col min="771" max="771" width="14" style="1" customWidth="1"/>
    <col min="772" max="772" width="5.625" style="1" customWidth="1"/>
    <col min="773" max="773" width="14.25" style="1" customWidth="1"/>
    <col min="774" max="774" width="17.375" style="1" bestFit="1" customWidth="1"/>
    <col min="775" max="775" width="14.25" style="1" customWidth="1"/>
    <col min="776" max="776" width="15.375" style="1" customWidth="1"/>
    <col min="777" max="777" width="13.25" style="1" customWidth="1"/>
    <col min="778" max="1024" width="9" style="1"/>
    <col min="1025" max="1025" width="6.375" style="1" customWidth="1"/>
    <col min="1026" max="1026" width="8.75" style="1" customWidth="1"/>
    <col min="1027" max="1027" width="14" style="1" customWidth="1"/>
    <col min="1028" max="1028" width="5.625" style="1" customWidth="1"/>
    <col min="1029" max="1029" width="14.25" style="1" customWidth="1"/>
    <col min="1030" max="1030" width="17.375" style="1" bestFit="1" customWidth="1"/>
    <col min="1031" max="1031" width="14.25" style="1" customWidth="1"/>
    <col min="1032" max="1032" width="15.375" style="1" customWidth="1"/>
    <col min="1033" max="1033" width="13.25" style="1" customWidth="1"/>
    <col min="1034" max="1280" width="9" style="1"/>
    <col min="1281" max="1281" width="6.375" style="1" customWidth="1"/>
    <col min="1282" max="1282" width="8.75" style="1" customWidth="1"/>
    <col min="1283" max="1283" width="14" style="1" customWidth="1"/>
    <col min="1284" max="1284" width="5.625" style="1" customWidth="1"/>
    <col min="1285" max="1285" width="14.25" style="1" customWidth="1"/>
    <col min="1286" max="1286" width="17.375" style="1" bestFit="1" customWidth="1"/>
    <col min="1287" max="1287" width="14.25" style="1" customWidth="1"/>
    <col min="1288" max="1288" width="15.375" style="1" customWidth="1"/>
    <col min="1289" max="1289" width="13.25" style="1" customWidth="1"/>
    <col min="1290" max="1536" width="9" style="1"/>
    <col min="1537" max="1537" width="6.375" style="1" customWidth="1"/>
    <col min="1538" max="1538" width="8.75" style="1" customWidth="1"/>
    <col min="1539" max="1539" width="14" style="1" customWidth="1"/>
    <col min="1540" max="1540" width="5.625" style="1" customWidth="1"/>
    <col min="1541" max="1541" width="14.25" style="1" customWidth="1"/>
    <col min="1542" max="1542" width="17.375" style="1" bestFit="1" customWidth="1"/>
    <col min="1543" max="1543" width="14.25" style="1" customWidth="1"/>
    <col min="1544" max="1544" width="15.375" style="1" customWidth="1"/>
    <col min="1545" max="1545" width="13.25" style="1" customWidth="1"/>
    <col min="1546" max="1792" width="9" style="1"/>
    <col min="1793" max="1793" width="6.375" style="1" customWidth="1"/>
    <col min="1794" max="1794" width="8.75" style="1" customWidth="1"/>
    <col min="1795" max="1795" width="14" style="1" customWidth="1"/>
    <col min="1796" max="1796" width="5.625" style="1" customWidth="1"/>
    <col min="1797" max="1797" width="14.25" style="1" customWidth="1"/>
    <col min="1798" max="1798" width="17.375" style="1" bestFit="1" customWidth="1"/>
    <col min="1799" max="1799" width="14.25" style="1" customWidth="1"/>
    <col min="1800" max="1800" width="15.375" style="1" customWidth="1"/>
    <col min="1801" max="1801" width="13.25" style="1" customWidth="1"/>
    <col min="1802" max="2048" width="9" style="1"/>
    <col min="2049" max="2049" width="6.375" style="1" customWidth="1"/>
    <col min="2050" max="2050" width="8.75" style="1" customWidth="1"/>
    <col min="2051" max="2051" width="14" style="1" customWidth="1"/>
    <col min="2052" max="2052" width="5.625" style="1" customWidth="1"/>
    <col min="2053" max="2053" width="14.25" style="1" customWidth="1"/>
    <col min="2054" max="2054" width="17.375" style="1" bestFit="1" customWidth="1"/>
    <col min="2055" max="2055" width="14.25" style="1" customWidth="1"/>
    <col min="2056" max="2056" width="15.375" style="1" customWidth="1"/>
    <col min="2057" max="2057" width="13.25" style="1" customWidth="1"/>
    <col min="2058" max="2304" width="9" style="1"/>
    <col min="2305" max="2305" width="6.375" style="1" customWidth="1"/>
    <col min="2306" max="2306" width="8.75" style="1" customWidth="1"/>
    <col min="2307" max="2307" width="14" style="1" customWidth="1"/>
    <col min="2308" max="2308" width="5.625" style="1" customWidth="1"/>
    <col min="2309" max="2309" width="14.25" style="1" customWidth="1"/>
    <col min="2310" max="2310" width="17.375" style="1" bestFit="1" customWidth="1"/>
    <col min="2311" max="2311" width="14.25" style="1" customWidth="1"/>
    <col min="2312" max="2312" width="15.375" style="1" customWidth="1"/>
    <col min="2313" max="2313" width="13.25" style="1" customWidth="1"/>
    <col min="2314" max="2560" width="9" style="1"/>
    <col min="2561" max="2561" width="6.375" style="1" customWidth="1"/>
    <col min="2562" max="2562" width="8.75" style="1" customWidth="1"/>
    <col min="2563" max="2563" width="14" style="1" customWidth="1"/>
    <col min="2564" max="2564" width="5.625" style="1" customWidth="1"/>
    <col min="2565" max="2565" width="14.25" style="1" customWidth="1"/>
    <col min="2566" max="2566" width="17.375" style="1" bestFit="1" customWidth="1"/>
    <col min="2567" max="2567" width="14.25" style="1" customWidth="1"/>
    <col min="2568" max="2568" width="15.375" style="1" customWidth="1"/>
    <col min="2569" max="2569" width="13.25" style="1" customWidth="1"/>
    <col min="2570" max="2816" width="9" style="1"/>
    <col min="2817" max="2817" width="6.375" style="1" customWidth="1"/>
    <col min="2818" max="2818" width="8.75" style="1" customWidth="1"/>
    <col min="2819" max="2819" width="14" style="1" customWidth="1"/>
    <col min="2820" max="2820" width="5.625" style="1" customWidth="1"/>
    <col min="2821" max="2821" width="14.25" style="1" customWidth="1"/>
    <col min="2822" max="2822" width="17.375" style="1" bestFit="1" customWidth="1"/>
    <col min="2823" max="2823" width="14.25" style="1" customWidth="1"/>
    <col min="2824" max="2824" width="15.375" style="1" customWidth="1"/>
    <col min="2825" max="2825" width="13.25" style="1" customWidth="1"/>
    <col min="2826" max="3072" width="9" style="1"/>
    <col min="3073" max="3073" width="6.375" style="1" customWidth="1"/>
    <col min="3074" max="3074" width="8.75" style="1" customWidth="1"/>
    <col min="3075" max="3075" width="14" style="1" customWidth="1"/>
    <col min="3076" max="3076" width="5.625" style="1" customWidth="1"/>
    <col min="3077" max="3077" width="14.25" style="1" customWidth="1"/>
    <col min="3078" max="3078" width="17.375" style="1" bestFit="1" customWidth="1"/>
    <col min="3079" max="3079" width="14.25" style="1" customWidth="1"/>
    <col min="3080" max="3080" width="15.375" style="1" customWidth="1"/>
    <col min="3081" max="3081" width="13.25" style="1" customWidth="1"/>
    <col min="3082" max="3328" width="9" style="1"/>
    <col min="3329" max="3329" width="6.375" style="1" customWidth="1"/>
    <col min="3330" max="3330" width="8.75" style="1" customWidth="1"/>
    <col min="3331" max="3331" width="14" style="1" customWidth="1"/>
    <col min="3332" max="3332" width="5.625" style="1" customWidth="1"/>
    <col min="3333" max="3333" width="14.25" style="1" customWidth="1"/>
    <col min="3334" max="3334" width="17.375" style="1" bestFit="1" customWidth="1"/>
    <col min="3335" max="3335" width="14.25" style="1" customWidth="1"/>
    <col min="3336" max="3336" width="15.375" style="1" customWidth="1"/>
    <col min="3337" max="3337" width="13.25" style="1" customWidth="1"/>
    <col min="3338" max="3584" width="9" style="1"/>
    <col min="3585" max="3585" width="6.375" style="1" customWidth="1"/>
    <col min="3586" max="3586" width="8.75" style="1" customWidth="1"/>
    <col min="3587" max="3587" width="14" style="1" customWidth="1"/>
    <col min="3588" max="3588" width="5.625" style="1" customWidth="1"/>
    <col min="3589" max="3589" width="14.25" style="1" customWidth="1"/>
    <col min="3590" max="3590" width="17.375" style="1" bestFit="1" customWidth="1"/>
    <col min="3591" max="3591" width="14.25" style="1" customWidth="1"/>
    <col min="3592" max="3592" width="15.375" style="1" customWidth="1"/>
    <col min="3593" max="3593" width="13.25" style="1" customWidth="1"/>
    <col min="3594" max="3840" width="9" style="1"/>
    <col min="3841" max="3841" width="6.375" style="1" customWidth="1"/>
    <col min="3842" max="3842" width="8.75" style="1" customWidth="1"/>
    <col min="3843" max="3843" width="14" style="1" customWidth="1"/>
    <col min="3844" max="3844" width="5.625" style="1" customWidth="1"/>
    <col min="3845" max="3845" width="14.25" style="1" customWidth="1"/>
    <col min="3846" max="3846" width="17.375" style="1" bestFit="1" customWidth="1"/>
    <col min="3847" max="3847" width="14.25" style="1" customWidth="1"/>
    <col min="3848" max="3848" width="15.375" style="1" customWidth="1"/>
    <col min="3849" max="3849" width="13.25" style="1" customWidth="1"/>
    <col min="3850" max="4096" width="9" style="1"/>
    <col min="4097" max="4097" width="6.375" style="1" customWidth="1"/>
    <col min="4098" max="4098" width="8.75" style="1" customWidth="1"/>
    <col min="4099" max="4099" width="14" style="1" customWidth="1"/>
    <col min="4100" max="4100" width="5.625" style="1" customWidth="1"/>
    <col min="4101" max="4101" width="14.25" style="1" customWidth="1"/>
    <col min="4102" max="4102" width="17.375" style="1" bestFit="1" customWidth="1"/>
    <col min="4103" max="4103" width="14.25" style="1" customWidth="1"/>
    <col min="4104" max="4104" width="15.375" style="1" customWidth="1"/>
    <col min="4105" max="4105" width="13.25" style="1" customWidth="1"/>
    <col min="4106" max="4352" width="9" style="1"/>
    <col min="4353" max="4353" width="6.375" style="1" customWidth="1"/>
    <col min="4354" max="4354" width="8.75" style="1" customWidth="1"/>
    <col min="4355" max="4355" width="14" style="1" customWidth="1"/>
    <col min="4356" max="4356" width="5.625" style="1" customWidth="1"/>
    <col min="4357" max="4357" width="14.25" style="1" customWidth="1"/>
    <col min="4358" max="4358" width="17.375" style="1" bestFit="1" customWidth="1"/>
    <col min="4359" max="4359" width="14.25" style="1" customWidth="1"/>
    <col min="4360" max="4360" width="15.375" style="1" customWidth="1"/>
    <col min="4361" max="4361" width="13.25" style="1" customWidth="1"/>
    <col min="4362" max="4608" width="9" style="1"/>
    <col min="4609" max="4609" width="6.375" style="1" customWidth="1"/>
    <col min="4610" max="4610" width="8.75" style="1" customWidth="1"/>
    <col min="4611" max="4611" width="14" style="1" customWidth="1"/>
    <col min="4612" max="4612" width="5.625" style="1" customWidth="1"/>
    <col min="4613" max="4613" width="14.25" style="1" customWidth="1"/>
    <col min="4614" max="4614" width="17.375" style="1" bestFit="1" customWidth="1"/>
    <col min="4615" max="4615" width="14.25" style="1" customWidth="1"/>
    <col min="4616" max="4616" width="15.375" style="1" customWidth="1"/>
    <col min="4617" max="4617" width="13.25" style="1" customWidth="1"/>
    <col min="4618" max="4864" width="9" style="1"/>
    <col min="4865" max="4865" width="6.375" style="1" customWidth="1"/>
    <col min="4866" max="4866" width="8.75" style="1" customWidth="1"/>
    <col min="4867" max="4867" width="14" style="1" customWidth="1"/>
    <col min="4868" max="4868" width="5.625" style="1" customWidth="1"/>
    <col min="4869" max="4869" width="14.25" style="1" customWidth="1"/>
    <col min="4870" max="4870" width="17.375" style="1" bestFit="1" customWidth="1"/>
    <col min="4871" max="4871" width="14.25" style="1" customWidth="1"/>
    <col min="4872" max="4872" width="15.375" style="1" customWidth="1"/>
    <col min="4873" max="4873" width="13.25" style="1" customWidth="1"/>
    <col min="4874" max="5120" width="9" style="1"/>
    <col min="5121" max="5121" width="6.375" style="1" customWidth="1"/>
    <col min="5122" max="5122" width="8.75" style="1" customWidth="1"/>
    <col min="5123" max="5123" width="14" style="1" customWidth="1"/>
    <col min="5124" max="5124" width="5.625" style="1" customWidth="1"/>
    <col min="5125" max="5125" width="14.25" style="1" customWidth="1"/>
    <col min="5126" max="5126" width="17.375" style="1" bestFit="1" customWidth="1"/>
    <col min="5127" max="5127" width="14.25" style="1" customWidth="1"/>
    <col min="5128" max="5128" width="15.375" style="1" customWidth="1"/>
    <col min="5129" max="5129" width="13.25" style="1" customWidth="1"/>
    <col min="5130" max="5376" width="9" style="1"/>
    <col min="5377" max="5377" width="6.375" style="1" customWidth="1"/>
    <col min="5378" max="5378" width="8.75" style="1" customWidth="1"/>
    <col min="5379" max="5379" width="14" style="1" customWidth="1"/>
    <col min="5380" max="5380" width="5.625" style="1" customWidth="1"/>
    <col min="5381" max="5381" width="14.25" style="1" customWidth="1"/>
    <col min="5382" max="5382" width="17.375" style="1" bestFit="1" customWidth="1"/>
    <col min="5383" max="5383" width="14.25" style="1" customWidth="1"/>
    <col min="5384" max="5384" width="15.375" style="1" customWidth="1"/>
    <col min="5385" max="5385" width="13.25" style="1" customWidth="1"/>
    <col min="5386" max="5632" width="9" style="1"/>
    <col min="5633" max="5633" width="6.375" style="1" customWidth="1"/>
    <col min="5634" max="5634" width="8.75" style="1" customWidth="1"/>
    <col min="5635" max="5635" width="14" style="1" customWidth="1"/>
    <col min="5636" max="5636" width="5.625" style="1" customWidth="1"/>
    <col min="5637" max="5637" width="14.25" style="1" customWidth="1"/>
    <col min="5638" max="5638" width="17.375" style="1" bestFit="1" customWidth="1"/>
    <col min="5639" max="5639" width="14.25" style="1" customWidth="1"/>
    <col min="5640" max="5640" width="15.375" style="1" customWidth="1"/>
    <col min="5641" max="5641" width="13.25" style="1" customWidth="1"/>
    <col min="5642" max="5888" width="9" style="1"/>
    <col min="5889" max="5889" width="6.375" style="1" customWidth="1"/>
    <col min="5890" max="5890" width="8.75" style="1" customWidth="1"/>
    <col min="5891" max="5891" width="14" style="1" customWidth="1"/>
    <col min="5892" max="5892" width="5.625" style="1" customWidth="1"/>
    <col min="5893" max="5893" width="14.25" style="1" customWidth="1"/>
    <col min="5894" max="5894" width="17.375" style="1" bestFit="1" customWidth="1"/>
    <col min="5895" max="5895" width="14.25" style="1" customWidth="1"/>
    <col min="5896" max="5896" width="15.375" style="1" customWidth="1"/>
    <col min="5897" max="5897" width="13.25" style="1" customWidth="1"/>
    <col min="5898" max="6144" width="9" style="1"/>
    <col min="6145" max="6145" width="6.375" style="1" customWidth="1"/>
    <col min="6146" max="6146" width="8.75" style="1" customWidth="1"/>
    <col min="6147" max="6147" width="14" style="1" customWidth="1"/>
    <col min="6148" max="6148" width="5.625" style="1" customWidth="1"/>
    <col min="6149" max="6149" width="14.25" style="1" customWidth="1"/>
    <col min="6150" max="6150" width="17.375" style="1" bestFit="1" customWidth="1"/>
    <col min="6151" max="6151" width="14.25" style="1" customWidth="1"/>
    <col min="6152" max="6152" width="15.375" style="1" customWidth="1"/>
    <col min="6153" max="6153" width="13.25" style="1" customWidth="1"/>
    <col min="6154" max="6400" width="9" style="1"/>
    <col min="6401" max="6401" width="6.375" style="1" customWidth="1"/>
    <col min="6402" max="6402" width="8.75" style="1" customWidth="1"/>
    <col min="6403" max="6403" width="14" style="1" customWidth="1"/>
    <col min="6404" max="6404" width="5.625" style="1" customWidth="1"/>
    <col min="6405" max="6405" width="14.25" style="1" customWidth="1"/>
    <col min="6406" max="6406" width="17.375" style="1" bestFit="1" customWidth="1"/>
    <col min="6407" max="6407" width="14.25" style="1" customWidth="1"/>
    <col min="6408" max="6408" width="15.375" style="1" customWidth="1"/>
    <col min="6409" max="6409" width="13.25" style="1" customWidth="1"/>
    <col min="6410" max="6656" width="9" style="1"/>
    <col min="6657" max="6657" width="6.375" style="1" customWidth="1"/>
    <col min="6658" max="6658" width="8.75" style="1" customWidth="1"/>
    <col min="6659" max="6659" width="14" style="1" customWidth="1"/>
    <col min="6660" max="6660" width="5.625" style="1" customWidth="1"/>
    <col min="6661" max="6661" width="14.25" style="1" customWidth="1"/>
    <col min="6662" max="6662" width="17.375" style="1" bestFit="1" customWidth="1"/>
    <col min="6663" max="6663" width="14.25" style="1" customWidth="1"/>
    <col min="6664" max="6664" width="15.375" style="1" customWidth="1"/>
    <col min="6665" max="6665" width="13.25" style="1" customWidth="1"/>
    <col min="6666" max="6912" width="9" style="1"/>
    <col min="6913" max="6913" width="6.375" style="1" customWidth="1"/>
    <col min="6914" max="6914" width="8.75" style="1" customWidth="1"/>
    <col min="6915" max="6915" width="14" style="1" customWidth="1"/>
    <col min="6916" max="6916" width="5.625" style="1" customWidth="1"/>
    <col min="6917" max="6917" width="14.25" style="1" customWidth="1"/>
    <col min="6918" max="6918" width="17.375" style="1" bestFit="1" customWidth="1"/>
    <col min="6919" max="6919" width="14.25" style="1" customWidth="1"/>
    <col min="6920" max="6920" width="15.375" style="1" customWidth="1"/>
    <col min="6921" max="6921" width="13.25" style="1" customWidth="1"/>
    <col min="6922" max="7168" width="9" style="1"/>
    <col min="7169" max="7169" width="6.375" style="1" customWidth="1"/>
    <col min="7170" max="7170" width="8.75" style="1" customWidth="1"/>
    <col min="7171" max="7171" width="14" style="1" customWidth="1"/>
    <col min="7172" max="7172" width="5.625" style="1" customWidth="1"/>
    <col min="7173" max="7173" width="14.25" style="1" customWidth="1"/>
    <col min="7174" max="7174" width="17.375" style="1" bestFit="1" customWidth="1"/>
    <col min="7175" max="7175" width="14.25" style="1" customWidth="1"/>
    <col min="7176" max="7176" width="15.375" style="1" customWidth="1"/>
    <col min="7177" max="7177" width="13.25" style="1" customWidth="1"/>
    <col min="7178" max="7424" width="9" style="1"/>
    <col min="7425" max="7425" width="6.375" style="1" customWidth="1"/>
    <col min="7426" max="7426" width="8.75" style="1" customWidth="1"/>
    <col min="7427" max="7427" width="14" style="1" customWidth="1"/>
    <col min="7428" max="7428" width="5.625" style="1" customWidth="1"/>
    <col min="7429" max="7429" width="14.25" style="1" customWidth="1"/>
    <col min="7430" max="7430" width="17.375" style="1" bestFit="1" customWidth="1"/>
    <col min="7431" max="7431" width="14.25" style="1" customWidth="1"/>
    <col min="7432" max="7432" width="15.375" style="1" customWidth="1"/>
    <col min="7433" max="7433" width="13.25" style="1" customWidth="1"/>
    <col min="7434" max="7680" width="9" style="1"/>
    <col min="7681" max="7681" width="6.375" style="1" customWidth="1"/>
    <col min="7682" max="7682" width="8.75" style="1" customWidth="1"/>
    <col min="7683" max="7683" width="14" style="1" customWidth="1"/>
    <col min="7684" max="7684" width="5.625" style="1" customWidth="1"/>
    <col min="7685" max="7685" width="14.25" style="1" customWidth="1"/>
    <col min="7686" max="7686" width="17.375" style="1" bestFit="1" customWidth="1"/>
    <col min="7687" max="7687" width="14.25" style="1" customWidth="1"/>
    <col min="7688" max="7688" width="15.375" style="1" customWidth="1"/>
    <col min="7689" max="7689" width="13.25" style="1" customWidth="1"/>
    <col min="7690" max="7936" width="9" style="1"/>
    <col min="7937" max="7937" width="6.375" style="1" customWidth="1"/>
    <col min="7938" max="7938" width="8.75" style="1" customWidth="1"/>
    <col min="7939" max="7939" width="14" style="1" customWidth="1"/>
    <col min="7940" max="7940" width="5.625" style="1" customWidth="1"/>
    <col min="7941" max="7941" width="14.25" style="1" customWidth="1"/>
    <col min="7942" max="7942" width="17.375" style="1" bestFit="1" customWidth="1"/>
    <col min="7943" max="7943" width="14.25" style="1" customWidth="1"/>
    <col min="7944" max="7944" width="15.375" style="1" customWidth="1"/>
    <col min="7945" max="7945" width="13.25" style="1" customWidth="1"/>
    <col min="7946" max="8192" width="9" style="1"/>
    <col min="8193" max="8193" width="6.375" style="1" customWidth="1"/>
    <col min="8194" max="8194" width="8.75" style="1" customWidth="1"/>
    <col min="8195" max="8195" width="14" style="1" customWidth="1"/>
    <col min="8196" max="8196" width="5.625" style="1" customWidth="1"/>
    <col min="8197" max="8197" width="14.25" style="1" customWidth="1"/>
    <col min="8198" max="8198" width="17.375" style="1" bestFit="1" customWidth="1"/>
    <col min="8199" max="8199" width="14.25" style="1" customWidth="1"/>
    <col min="8200" max="8200" width="15.375" style="1" customWidth="1"/>
    <col min="8201" max="8201" width="13.25" style="1" customWidth="1"/>
    <col min="8202" max="8448" width="9" style="1"/>
    <col min="8449" max="8449" width="6.375" style="1" customWidth="1"/>
    <col min="8450" max="8450" width="8.75" style="1" customWidth="1"/>
    <col min="8451" max="8451" width="14" style="1" customWidth="1"/>
    <col min="8452" max="8452" width="5.625" style="1" customWidth="1"/>
    <col min="8453" max="8453" width="14.25" style="1" customWidth="1"/>
    <col min="8454" max="8454" width="17.375" style="1" bestFit="1" customWidth="1"/>
    <col min="8455" max="8455" width="14.25" style="1" customWidth="1"/>
    <col min="8456" max="8456" width="15.375" style="1" customWidth="1"/>
    <col min="8457" max="8457" width="13.25" style="1" customWidth="1"/>
    <col min="8458" max="8704" width="9" style="1"/>
    <col min="8705" max="8705" width="6.375" style="1" customWidth="1"/>
    <col min="8706" max="8706" width="8.75" style="1" customWidth="1"/>
    <col min="8707" max="8707" width="14" style="1" customWidth="1"/>
    <col min="8708" max="8708" width="5.625" style="1" customWidth="1"/>
    <col min="8709" max="8709" width="14.25" style="1" customWidth="1"/>
    <col min="8710" max="8710" width="17.375" style="1" bestFit="1" customWidth="1"/>
    <col min="8711" max="8711" width="14.25" style="1" customWidth="1"/>
    <col min="8712" max="8712" width="15.375" style="1" customWidth="1"/>
    <col min="8713" max="8713" width="13.25" style="1" customWidth="1"/>
    <col min="8714" max="8960" width="9" style="1"/>
    <col min="8961" max="8961" width="6.375" style="1" customWidth="1"/>
    <col min="8962" max="8962" width="8.75" style="1" customWidth="1"/>
    <col min="8963" max="8963" width="14" style="1" customWidth="1"/>
    <col min="8964" max="8964" width="5.625" style="1" customWidth="1"/>
    <col min="8965" max="8965" width="14.25" style="1" customWidth="1"/>
    <col min="8966" max="8966" width="17.375" style="1" bestFit="1" customWidth="1"/>
    <col min="8967" max="8967" width="14.25" style="1" customWidth="1"/>
    <col min="8968" max="8968" width="15.375" style="1" customWidth="1"/>
    <col min="8969" max="8969" width="13.25" style="1" customWidth="1"/>
    <col min="8970" max="9216" width="9" style="1"/>
    <col min="9217" max="9217" width="6.375" style="1" customWidth="1"/>
    <col min="9218" max="9218" width="8.75" style="1" customWidth="1"/>
    <col min="9219" max="9219" width="14" style="1" customWidth="1"/>
    <col min="9220" max="9220" width="5.625" style="1" customWidth="1"/>
    <col min="9221" max="9221" width="14.25" style="1" customWidth="1"/>
    <col min="9222" max="9222" width="17.375" style="1" bestFit="1" customWidth="1"/>
    <col min="9223" max="9223" width="14.25" style="1" customWidth="1"/>
    <col min="9224" max="9224" width="15.375" style="1" customWidth="1"/>
    <col min="9225" max="9225" width="13.25" style="1" customWidth="1"/>
    <col min="9226" max="9472" width="9" style="1"/>
    <col min="9473" max="9473" width="6.375" style="1" customWidth="1"/>
    <col min="9474" max="9474" width="8.75" style="1" customWidth="1"/>
    <col min="9475" max="9475" width="14" style="1" customWidth="1"/>
    <col min="9476" max="9476" width="5.625" style="1" customWidth="1"/>
    <col min="9477" max="9477" width="14.25" style="1" customWidth="1"/>
    <col min="9478" max="9478" width="17.375" style="1" bestFit="1" customWidth="1"/>
    <col min="9479" max="9479" width="14.25" style="1" customWidth="1"/>
    <col min="9480" max="9480" width="15.375" style="1" customWidth="1"/>
    <col min="9481" max="9481" width="13.25" style="1" customWidth="1"/>
    <col min="9482" max="9728" width="9" style="1"/>
    <col min="9729" max="9729" width="6.375" style="1" customWidth="1"/>
    <col min="9730" max="9730" width="8.75" style="1" customWidth="1"/>
    <col min="9731" max="9731" width="14" style="1" customWidth="1"/>
    <col min="9732" max="9732" width="5.625" style="1" customWidth="1"/>
    <col min="9733" max="9733" width="14.25" style="1" customWidth="1"/>
    <col min="9734" max="9734" width="17.375" style="1" bestFit="1" customWidth="1"/>
    <col min="9735" max="9735" width="14.25" style="1" customWidth="1"/>
    <col min="9736" max="9736" width="15.375" style="1" customWidth="1"/>
    <col min="9737" max="9737" width="13.25" style="1" customWidth="1"/>
    <col min="9738" max="9984" width="9" style="1"/>
    <col min="9985" max="9985" width="6.375" style="1" customWidth="1"/>
    <col min="9986" max="9986" width="8.75" style="1" customWidth="1"/>
    <col min="9987" max="9987" width="14" style="1" customWidth="1"/>
    <col min="9988" max="9988" width="5.625" style="1" customWidth="1"/>
    <col min="9989" max="9989" width="14.25" style="1" customWidth="1"/>
    <col min="9990" max="9990" width="17.375" style="1" bestFit="1" customWidth="1"/>
    <col min="9991" max="9991" width="14.25" style="1" customWidth="1"/>
    <col min="9992" max="9992" width="15.375" style="1" customWidth="1"/>
    <col min="9993" max="9993" width="13.25" style="1" customWidth="1"/>
    <col min="9994" max="10240" width="9" style="1"/>
    <col min="10241" max="10241" width="6.375" style="1" customWidth="1"/>
    <col min="10242" max="10242" width="8.75" style="1" customWidth="1"/>
    <col min="10243" max="10243" width="14" style="1" customWidth="1"/>
    <col min="10244" max="10244" width="5.625" style="1" customWidth="1"/>
    <col min="10245" max="10245" width="14.25" style="1" customWidth="1"/>
    <col min="10246" max="10246" width="17.375" style="1" bestFit="1" customWidth="1"/>
    <col min="10247" max="10247" width="14.25" style="1" customWidth="1"/>
    <col min="10248" max="10248" width="15.375" style="1" customWidth="1"/>
    <col min="10249" max="10249" width="13.25" style="1" customWidth="1"/>
    <col min="10250" max="10496" width="9" style="1"/>
    <col min="10497" max="10497" width="6.375" style="1" customWidth="1"/>
    <col min="10498" max="10498" width="8.75" style="1" customWidth="1"/>
    <col min="10499" max="10499" width="14" style="1" customWidth="1"/>
    <col min="10500" max="10500" width="5.625" style="1" customWidth="1"/>
    <col min="10501" max="10501" width="14.25" style="1" customWidth="1"/>
    <col min="10502" max="10502" width="17.375" style="1" bestFit="1" customWidth="1"/>
    <col min="10503" max="10503" width="14.25" style="1" customWidth="1"/>
    <col min="10504" max="10504" width="15.375" style="1" customWidth="1"/>
    <col min="10505" max="10505" width="13.25" style="1" customWidth="1"/>
    <col min="10506" max="10752" width="9" style="1"/>
    <col min="10753" max="10753" width="6.375" style="1" customWidth="1"/>
    <col min="10754" max="10754" width="8.75" style="1" customWidth="1"/>
    <col min="10755" max="10755" width="14" style="1" customWidth="1"/>
    <col min="10756" max="10756" width="5.625" style="1" customWidth="1"/>
    <col min="10757" max="10757" width="14.25" style="1" customWidth="1"/>
    <col min="10758" max="10758" width="17.375" style="1" bestFit="1" customWidth="1"/>
    <col min="10759" max="10759" width="14.25" style="1" customWidth="1"/>
    <col min="10760" max="10760" width="15.375" style="1" customWidth="1"/>
    <col min="10761" max="10761" width="13.25" style="1" customWidth="1"/>
    <col min="10762" max="11008" width="9" style="1"/>
    <col min="11009" max="11009" width="6.375" style="1" customWidth="1"/>
    <col min="11010" max="11010" width="8.75" style="1" customWidth="1"/>
    <col min="11011" max="11011" width="14" style="1" customWidth="1"/>
    <col min="11012" max="11012" width="5.625" style="1" customWidth="1"/>
    <col min="11013" max="11013" width="14.25" style="1" customWidth="1"/>
    <col min="11014" max="11014" width="17.375" style="1" bestFit="1" customWidth="1"/>
    <col min="11015" max="11015" width="14.25" style="1" customWidth="1"/>
    <col min="11016" max="11016" width="15.375" style="1" customWidth="1"/>
    <col min="11017" max="11017" width="13.25" style="1" customWidth="1"/>
    <col min="11018" max="11264" width="9" style="1"/>
    <col min="11265" max="11265" width="6.375" style="1" customWidth="1"/>
    <col min="11266" max="11266" width="8.75" style="1" customWidth="1"/>
    <col min="11267" max="11267" width="14" style="1" customWidth="1"/>
    <col min="11268" max="11268" width="5.625" style="1" customWidth="1"/>
    <col min="11269" max="11269" width="14.25" style="1" customWidth="1"/>
    <col min="11270" max="11270" width="17.375" style="1" bestFit="1" customWidth="1"/>
    <col min="11271" max="11271" width="14.25" style="1" customWidth="1"/>
    <col min="11272" max="11272" width="15.375" style="1" customWidth="1"/>
    <col min="11273" max="11273" width="13.25" style="1" customWidth="1"/>
    <col min="11274" max="11520" width="9" style="1"/>
    <col min="11521" max="11521" width="6.375" style="1" customWidth="1"/>
    <col min="11522" max="11522" width="8.75" style="1" customWidth="1"/>
    <col min="11523" max="11523" width="14" style="1" customWidth="1"/>
    <col min="11524" max="11524" width="5.625" style="1" customWidth="1"/>
    <col min="11525" max="11525" width="14.25" style="1" customWidth="1"/>
    <col min="11526" max="11526" width="17.375" style="1" bestFit="1" customWidth="1"/>
    <col min="11527" max="11527" width="14.25" style="1" customWidth="1"/>
    <col min="11528" max="11528" width="15.375" style="1" customWidth="1"/>
    <col min="11529" max="11529" width="13.25" style="1" customWidth="1"/>
    <col min="11530" max="11776" width="9" style="1"/>
    <col min="11777" max="11777" width="6.375" style="1" customWidth="1"/>
    <col min="11778" max="11778" width="8.75" style="1" customWidth="1"/>
    <col min="11779" max="11779" width="14" style="1" customWidth="1"/>
    <col min="11780" max="11780" width="5.625" style="1" customWidth="1"/>
    <col min="11781" max="11781" width="14.25" style="1" customWidth="1"/>
    <col min="11782" max="11782" width="17.375" style="1" bestFit="1" customWidth="1"/>
    <col min="11783" max="11783" width="14.25" style="1" customWidth="1"/>
    <col min="11784" max="11784" width="15.375" style="1" customWidth="1"/>
    <col min="11785" max="11785" width="13.25" style="1" customWidth="1"/>
    <col min="11786" max="12032" width="9" style="1"/>
    <col min="12033" max="12033" width="6.375" style="1" customWidth="1"/>
    <col min="12034" max="12034" width="8.75" style="1" customWidth="1"/>
    <col min="12035" max="12035" width="14" style="1" customWidth="1"/>
    <col min="12036" max="12036" width="5.625" style="1" customWidth="1"/>
    <col min="12037" max="12037" width="14.25" style="1" customWidth="1"/>
    <col min="12038" max="12038" width="17.375" style="1" bestFit="1" customWidth="1"/>
    <col min="12039" max="12039" width="14.25" style="1" customWidth="1"/>
    <col min="12040" max="12040" width="15.375" style="1" customWidth="1"/>
    <col min="12041" max="12041" width="13.25" style="1" customWidth="1"/>
    <col min="12042" max="12288" width="9" style="1"/>
    <col min="12289" max="12289" width="6.375" style="1" customWidth="1"/>
    <col min="12290" max="12290" width="8.75" style="1" customWidth="1"/>
    <col min="12291" max="12291" width="14" style="1" customWidth="1"/>
    <col min="12292" max="12292" width="5.625" style="1" customWidth="1"/>
    <col min="12293" max="12293" width="14.25" style="1" customWidth="1"/>
    <col min="12294" max="12294" width="17.375" style="1" bestFit="1" customWidth="1"/>
    <col min="12295" max="12295" width="14.25" style="1" customWidth="1"/>
    <col min="12296" max="12296" width="15.375" style="1" customWidth="1"/>
    <col min="12297" max="12297" width="13.25" style="1" customWidth="1"/>
    <col min="12298" max="12544" width="9" style="1"/>
    <col min="12545" max="12545" width="6.375" style="1" customWidth="1"/>
    <col min="12546" max="12546" width="8.75" style="1" customWidth="1"/>
    <col min="12547" max="12547" width="14" style="1" customWidth="1"/>
    <col min="12548" max="12548" width="5.625" style="1" customWidth="1"/>
    <col min="12549" max="12549" width="14.25" style="1" customWidth="1"/>
    <col min="12550" max="12550" width="17.375" style="1" bestFit="1" customWidth="1"/>
    <col min="12551" max="12551" width="14.25" style="1" customWidth="1"/>
    <col min="12552" max="12552" width="15.375" style="1" customWidth="1"/>
    <col min="12553" max="12553" width="13.25" style="1" customWidth="1"/>
    <col min="12554" max="12800" width="9" style="1"/>
    <col min="12801" max="12801" width="6.375" style="1" customWidth="1"/>
    <col min="12802" max="12802" width="8.75" style="1" customWidth="1"/>
    <col min="12803" max="12803" width="14" style="1" customWidth="1"/>
    <col min="12804" max="12804" width="5.625" style="1" customWidth="1"/>
    <col min="12805" max="12805" width="14.25" style="1" customWidth="1"/>
    <col min="12806" max="12806" width="17.375" style="1" bestFit="1" customWidth="1"/>
    <col min="12807" max="12807" width="14.25" style="1" customWidth="1"/>
    <col min="12808" max="12808" width="15.375" style="1" customWidth="1"/>
    <col min="12809" max="12809" width="13.25" style="1" customWidth="1"/>
    <col min="12810" max="13056" width="9" style="1"/>
    <col min="13057" max="13057" width="6.375" style="1" customWidth="1"/>
    <col min="13058" max="13058" width="8.75" style="1" customWidth="1"/>
    <col min="13059" max="13059" width="14" style="1" customWidth="1"/>
    <col min="13060" max="13060" width="5.625" style="1" customWidth="1"/>
    <col min="13061" max="13061" width="14.25" style="1" customWidth="1"/>
    <col min="13062" max="13062" width="17.375" style="1" bestFit="1" customWidth="1"/>
    <col min="13063" max="13063" width="14.25" style="1" customWidth="1"/>
    <col min="13064" max="13064" width="15.375" style="1" customWidth="1"/>
    <col min="13065" max="13065" width="13.25" style="1" customWidth="1"/>
    <col min="13066" max="13312" width="9" style="1"/>
    <col min="13313" max="13313" width="6.375" style="1" customWidth="1"/>
    <col min="13314" max="13314" width="8.75" style="1" customWidth="1"/>
    <col min="13315" max="13315" width="14" style="1" customWidth="1"/>
    <col min="13316" max="13316" width="5.625" style="1" customWidth="1"/>
    <col min="13317" max="13317" width="14.25" style="1" customWidth="1"/>
    <col min="13318" max="13318" width="17.375" style="1" bestFit="1" customWidth="1"/>
    <col min="13319" max="13319" width="14.25" style="1" customWidth="1"/>
    <col min="13320" max="13320" width="15.375" style="1" customWidth="1"/>
    <col min="13321" max="13321" width="13.25" style="1" customWidth="1"/>
    <col min="13322" max="13568" width="9" style="1"/>
    <col min="13569" max="13569" width="6.375" style="1" customWidth="1"/>
    <col min="13570" max="13570" width="8.75" style="1" customWidth="1"/>
    <col min="13571" max="13571" width="14" style="1" customWidth="1"/>
    <col min="13572" max="13572" width="5.625" style="1" customWidth="1"/>
    <col min="13573" max="13573" width="14.25" style="1" customWidth="1"/>
    <col min="13574" max="13574" width="17.375" style="1" bestFit="1" customWidth="1"/>
    <col min="13575" max="13575" width="14.25" style="1" customWidth="1"/>
    <col min="13576" max="13576" width="15.375" style="1" customWidth="1"/>
    <col min="13577" max="13577" width="13.25" style="1" customWidth="1"/>
    <col min="13578" max="13824" width="9" style="1"/>
    <col min="13825" max="13825" width="6.375" style="1" customWidth="1"/>
    <col min="13826" max="13826" width="8.75" style="1" customWidth="1"/>
    <col min="13827" max="13827" width="14" style="1" customWidth="1"/>
    <col min="13828" max="13828" width="5.625" style="1" customWidth="1"/>
    <col min="13829" max="13829" width="14.25" style="1" customWidth="1"/>
    <col min="13830" max="13830" width="17.375" style="1" bestFit="1" customWidth="1"/>
    <col min="13831" max="13831" width="14.25" style="1" customWidth="1"/>
    <col min="13832" max="13832" width="15.375" style="1" customWidth="1"/>
    <col min="13833" max="13833" width="13.25" style="1" customWidth="1"/>
    <col min="13834" max="14080" width="9" style="1"/>
    <col min="14081" max="14081" width="6.375" style="1" customWidth="1"/>
    <col min="14082" max="14082" width="8.75" style="1" customWidth="1"/>
    <col min="14083" max="14083" width="14" style="1" customWidth="1"/>
    <col min="14084" max="14084" width="5.625" style="1" customWidth="1"/>
    <col min="14085" max="14085" width="14.25" style="1" customWidth="1"/>
    <col min="14086" max="14086" width="17.375" style="1" bestFit="1" customWidth="1"/>
    <col min="14087" max="14087" width="14.25" style="1" customWidth="1"/>
    <col min="14088" max="14088" width="15.375" style="1" customWidth="1"/>
    <col min="14089" max="14089" width="13.25" style="1" customWidth="1"/>
    <col min="14090" max="14336" width="9" style="1"/>
    <col min="14337" max="14337" width="6.375" style="1" customWidth="1"/>
    <col min="14338" max="14338" width="8.75" style="1" customWidth="1"/>
    <col min="14339" max="14339" width="14" style="1" customWidth="1"/>
    <col min="14340" max="14340" width="5.625" style="1" customWidth="1"/>
    <col min="14341" max="14341" width="14.25" style="1" customWidth="1"/>
    <col min="14342" max="14342" width="17.375" style="1" bestFit="1" customWidth="1"/>
    <col min="14343" max="14343" width="14.25" style="1" customWidth="1"/>
    <col min="14344" max="14344" width="15.375" style="1" customWidth="1"/>
    <col min="14345" max="14345" width="13.25" style="1" customWidth="1"/>
    <col min="14346" max="14592" width="9" style="1"/>
    <col min="14593" max="14593" width="6.375" style="1" customWidth="1"/>
    <col min="14594" max="14594" width="8.75" style="1" customWidth="1"/>
    <col min="14595" max="14595" width="14" style="1" customWidth="1"/>
    <col min="14596" max="14596" width="5.625" style="1" customWidth="1"/>
    <col min="14597" max="14597" width="14.25" style="1" customWidth="1"/>
    <col min="14598" max="14598" width="17.375" style="1" bestFit="1" customWidth="1"/>
    <col min="14599" max="14599" width="14.25" style="1" customWidth="1"/>
    <col min="14600" max="14600" width="15.375" style="1" customWidth="1"/>
    <col min="14601" max="14601" width="13.25" style="1" customWidth="1"/>
    <col min="14602" max="14848" width="9" style="1"/>
    <col min="14849" max="14849" width="6.375" style="1" customWidth="1"/>
    <col min="14850" max="14850" width="8.75" style="1" customWidth="1"/>
    <col min="14851" max="14851" width="14" style="1" customWidth="1"/>
    <col min="14852" max="14852" width="5.625" style="1" customWidth="1"/>
    <col min="14853" max="14853" width="14.25" style="1" customWidth="1"/>
    <col min="14854" max="14854" width="17.375" style="1" bestFit="1" customWidth="1"/>
    <col min="14855" max="14855" width="14.25" style="1" customWidth="1"/>
    <col min="14856" max="14856" width="15.375" style="1" customWidth="1"/>
    <col min="14857" max="14857" width="13.25" style="1" customWidth="1"/>
    <col min="14858" max="15104" width="9" style="1"/>
    <col min="15105" max="15105" width="6.375" style="1" customWidth="1"/>
    <col min="15106" max="15106" width="8.75" style="1" customWidth="1"/>
    <col min="15107" max="15107" width="14" style="1" customWidth="1"/>
    <col min="15108" max="15108" width="5.625" style="1" customWidth="1"/>
    <col min="15109" max="15109" width="14.25" style="1" customWidth="1"/>
    <col min="15110" max="15110" width="17.375" style="1" bestFit="1" customWidth="1"/>
    <col min="15111" max="15111" width="14.25" style="1" customWidth="1"/>
    <col min="15112" max="15112" width="15.375" style="1" customWidth="1"/>
    <col min="15113" max="15113" width="13.25" style="1" customWidth="1"/>
    <col min="15114" max="15360" width="9" style="1"/>
    <col min="15361" max="15361" width="6.375" style="1" customWidth="1"/>
    <col min="15362" max="15362" width="8.75" style="1" customWidth="1"/>
    <col min="15363" max="15363" width="14" style="1" customWidth="1"/>
    <col min="15364" max="15364" width="5.625" style="1" customWidth="1"/>
    <col min="15365" max="15365" width="14.25" style="1" customWidth="1"/>
    <col min="15366" max="15366" width="17.375" style="1" bestFit="1" customWidth="1"/>
    <col min="15367" max="15367" width="14.25" style="1" customWidth="1"/>
    <col min="15368" max="15368" width="15.375" style="1" customWidth="1"/>
    <col min="15369" max="15369" width="13.25" style="1" customWidth="1"/>
    <col min="15370" max="15616" width="9" style="1"/>
    <col min="15617" max="15617" width="6.375" style="1" customWidth="1"/>
    <col min="15618" max="15618" width="8.75" style="1" customWidth="1"/>
    <col min="15619" max="15619" width="14" style="1" customWidth="1"/>
    <col min="15620" max="15620" width="5.625" style="1" customWidth="1"/>
    <col min="15621" max="15621" width="14.25" style="1" customWidth="1"/>
    <col min="15622" max="15622" width="17.375" style="1" bestFit="1" customWidth="1"/>
    <col min="15623" max="15623" width="14.25" style="1" customWidth="1"/>
    <col min="15624" max="15624" width="15.375" style="1" customWidth="1"/>
    <col min="15625" max="15625" width="13.25" style="1" customWidth="1"/>
    <col min="15626" max="15872" width="9" style="1"/>
    <col min="15873" max="15873" width="6.375" style="1" customWidth="1"/>
    <col min="15874" max="15874" width="8.75" style="1" customWidth="1"/>
    <col min="15875" max="15875" width="14" style="1" customWidth="1"/>
    <col min="15876" max="15876" width="5.625" style="1" customWidth="1"/>
    <col min="15877" max="15877" width="14.25" style="1" customWidth="1"/>
    <col min="15878" max="15878" width="17.375" style="1" bestFit="1" customWidth="1"/>
    <col min="15879" max="15879" width="14.25" style="1" customWidth="1"/>
    <col min="15880" max="15880" width="15.375" style="1" customWidth="1"/>
    <col min="15881" max="15881" width="13.25" style="1" customWidth="1"/>
    <col min="15882" max="16128" width="9" style="1"/>
    <col min="16129" max="16129" width="6.375" style="1" customWidth="1"/>
    <col min="16130" max="16130" width="8.75" style="1" customWidth="1"/>
    <col min="16131" max="16131" width="14" style="1" customWidth="1"/>
    <col min="16132" max="16132" width="5.625" style="1" customWidth="1"/>
    <col min="16133" max="16133" width="14.25" style="1" customWidth="1"/>
    <col min="16134" max="16134" width="17.375" style="1" bestFit="1" customWidth="1"/>
    <col min="16135" max="16135" width="14.25" style="1" customWidth="1"/>
    <col min="16136" max="16136" width="15.375" style="1" customWidth="1"/>
    <col min="16137" max="16137" width="13.25" style="1" customWidth="1"/>
    <col min="16138" max="16384" width="9" style="1"/>
  </cols>
  <sheetData>
    <row r="1" spans="1:8" ht="18.75" customHeight="1">
      <c r="A1" s="702" t="s">
        <v>495</v>
      </c>
      <c r="B1" s="702"/>
    </row>
    <row r="2" spans="1:8" ht="18.75" customHeight="1">
      <c r="A2" s="648" t="s">
        <v>496</v>
      </c>
      <c r="B2" s="648"/>
      <c r="C2" s="648"/>
      <c r="D2" s="648"/>
      <c r="E2" s="648"/>
      <c r="F2" s="648"/>
      <c r="G2" s="648"/>
      <c r="H2" s="648"/>
    </row>
    <row r="3" spans="1:8" ht="22.5" customHeight="1">
      <c r="A3" s="703" t="s">
        <v>497</v>
      </c>
      <c r="B3" s="703"/>
      <c r="C3" s="703"/>
      <c r="D3" s="703"/>
      <c r="E3" s="703"/>
      <c r="F3" s="703"/>
      <c r="G3" s="703"/>
      <c r="H3" s="703"/>
    </row>
    <row r="4" spans="1:8" ht="24" customHeight="1">
      <c r="A4" s="704" t="s">
        <v>498</v>
      </c>
      <c r="B4" s="704"/>
      <c r="C4" s="704"/>
      <c r="D4" s="704"/>
      <c r="E4" s="704"/>
      <c r="F4" s="704"/>
      <c r="G4" s="704"/>
      <c r="H4" s="704"/>
    </row>
    <row r="5" spans="1:8" ht="17.100000000000001" customHeight="1">
      <c r="A5" s="705" t="s">
        <v>499</v>
      </c>
      <c r="B5" s="705"/>
      <c r="C5" s="705"/>
      <c r="D5" s="705"/>
      <c r="E5" s="705"/>
      <c r="F5" s="705"/>
      <c r="G5" s="705"/>
      <c r="H5" s="705"/>
    </row>
    <row r="6" spans="1:8" ht="27" customHeight="1"/>
    <row r="7" spans="1:8" ht="18.75" customHeight="1">
      <c r="A7" s="690" t="s">
        <v>500</v>
      </c>
      <c r="B7" s="690"/>
      <c r="C7" s="690"/>
      <c r="D7" s="690"/>
      <c r="E7" s="690"/>
      <c r="F7" s="690"/>
      <c r="G7" s="690"/>
      <c r="H7" s="690"/>
    </row>
    <row r="8" spans="1:8" ht="18.75" customHeight="1">
      <c r="A8" s="667" t="s">
        <v>501</v>
      </c>
      <c r="B8" s="667"/>
      <c r="C8" s="667"/>
      <c r="D8" s="667"/>
      <c r="E8" s="667"/>
      <c r="F8" s="667"/>
      <c r="G8" s="667"/>
      <c r="H8" s="667"/>
    </row>
    <row r="9" spans="1:8" ht="35.25" customHeight="1">
      <c r="A9" s="668" t="s">
        <v>502</v>
      </c>
      <c r="B9" s="668"/>
      <c r="C9" s="668"/>
      <c r="D9" s="668"/>
      <c r="E9" s="668"/>
      <c r="F9" s="668"/>
      <c r="G9" s="668"/>
      <c r="H9" s="668"/>
    </row>
    <row r="10" spans="1:8" ht="19.5" customHeight="1">
      <c r="A10" s="669" t="s">
        <v>503</v>
      </c>
      <c r="B10" s="669"/>
      <c r="C10" s="669"/>
      <c r="D10" s="669" t="s">
        <v>504</v>
      </c>
      <c r="E10" s="701" t="s">
        <v>505</v>
      </c>
      <c r="F10" s="671" t="s">
        <v>506</v>
      </c>
      <c r="G10" s="671" t="s">
        <v>507</v>
      </c>
      <c r="H10" s="701" t="s">
        <v>508</v>
      </c>
    </row>
    <row r="11" spans="1:8" ht="19.5" customHeight="1">
      <c r="A11" s="507" t="s">
        <v>13</v>
      </c>
      <c r="B11" s="507" t="s">
        <v>14</v>
      </c>
      <c r="C11" s="507" t="s">
        <v>15</v>
      </c>
      <c r="D11" s="669"/>
      <c r="E11" s="701"/>
      <c r="F11" s="671"/>
      <c r="G11" s="671"/>
      <c r="H11" s="701"/>
    </row>
    <row r="12" spans="1:8" ht="19.5" customHeight="1">
      <c r="A12" s="672" t="s">
        <v>509</v>
      </c>
      <c r="B12" s="675" t="s">
        <v>510</v>
      </c>
      <c r="C12" s="654" t="s">
        <v>511</v>
      </c>
      <c r="D12" s="508" t="s">
        <v>512</v>
      </c>
      <c r="E12" s="509"/>
      <c r="F12" s="510">
        <v>25000000</v>
      </c>
      <c r="G12" s="510"/>
      <c r="H12" s="510">
        <f>F12</f>
        <v>25000000</v>
      </c>
    </row>
    <row r="13" spans="1:8" ht="19.5" customHeight="1">
      <c r="A13" s="673"/>
      <c r="B13" s="675"/>
      <c r="C13" s="655"/>
      <c r="D13" s="508" t="s">
        <v>513</v>
      </c>
      <c r="E13" s="509"/>
      <c r="F13" s="510">
        <v>18495923</v>
      </c>
      <c r="G13" s="510"/>
      <c r="H13" s="511">
        <f t="shared" ref="H13:H76" si="0">F13</f>
        <v>18495923</v>
      </c>
    </row>
    <row r="14" spans="1:8" ht="19.5" customHeight="1">
      <c r="A14" s="673"/>
      <c r="B14" s="676"/>
      <c r="C14" s="656"/>
      <c r="D14" s="512" t="s">
        <v>514</v>
      </c>
      <c r="E14" s="513"/>
      <c r="F14" s="514">
        <f>F12-F13</f>
        <v>6504077</v>
      </c>
      <c r="G14" s="514"/>
      <c r="H14" s="510">
        <f t="shared" si="0"/>
        <v>6504077</v>
      </c>
    </row>
    <row r="15" spans="1:8" ht="19.5" customHeight="1">
      <c r="A15" s="673"/>
      <c r="B15" s="677" t="s">
        <v>515</v>
      </c>
      <c r="C15" s="678"/>
      <c r="D15" s="515" t="s">
        <v>512</v>
      </c>
      <c r="E15" s="516"/>
      <c r="F15" s="517">
        <f>SUM(F12)</f>
        <v>25000000</v>
      </c>
      <c r="G15" s="517"/>
      <c r="H15" s="518">
        <f t="shared" si="0"/>
        <v>25000000</v>
      </c>
    </row>
    <row r="16" spans="1:8" ht="19.5" customHeight="1">
      <c r="A16" s="673"/>
      <c r="B16" s="677"/>
      <c r="C16" s="678"/>
      <c r="D16" s="515" t="s">
        <v>516</v>
      </c>
      <c r="E16" s="516"/>
      <c r="F16" s="517">
        <f>SUM(F13)</f>
        <v>18495923</v>
      </c>
      <c r="G16" s="517"/>
      <c r="H16" s="518">
        <f t="shared" si="0"/>
        <v>18495923</v>
      </c>
    </row>
    <row r="17" spans="1:8" ht="19.5" customHeight="1">
      <c r="A17" s="674"/>
      <c r="B17" s="679"/>
      <c r="C17" s="680"/>
      <c r="D17" s="519" t="s">
        <v>517</v>
      </c>
      <c r="E17" s="516"/>
      <c r="F17" s="517">
        <f>F14</f>
        <v>6504077</v>
      </c>
      <c r="G17" s="517"/>
      <c r="H17" s="518">
        <f t="shared" si="0"/>
        <v>6504077</v>
      </c>
    </row>
    <row r="18" spans="1:8" ht="19.5" customHeight="1">
      <c r="A18" s="672" t="s">
        <v>139</v>
      </c>
      <c r="B18" s="675" t="s">
        <v>518</v>
      </c>
      <c r="C18" s="654" t="s">
        <v>519</v>
      </c>
      <c r="D18" s="508" t="s">
        <v>512</v>
      </c>
      <c r="E18" s="509"/>
      <c r="F18" s="510">
        <v>74640000</v>
      </c>
      <c r="G18" s="510"/>
      <c r="H18" s="510">
        <f t="shared" si="0"/>
        <v>74640000</v>
      </c>
    </row>
    <row r="19" spans="1:8" ht="19.5" customHeight="1">
      <c r="A19" s="673"/>
      <c r="B19" s="675"/>
      <c r="C19" s="655"/>
      <c r="D19" s="508" t="s">
        <v>516</v>
      </c>
      <c r="E19" s="509"/>
      <c r="F19" s="510">
        <v>71969641</v>
      </c>
      <c r="G19" s="510"/>
      <c r="H19" s="511">
        <f t="shared" si="0"/>
        <v>71969641</v>
      </c>
    </row>
    <row r="20" spans="1:8" ht="19.5" customHeight="1">
      <c r="A20" s="673"/>
      <c r="B20" s="676"/>
      <c r="C20" s="656"/>
      <c r="D20" s="512" t="s">
        <v>514</v>
      </c>
      <c r="E20" s="513"/>
      <c r="F20" s="514">
        <f>F18-F19</f>
        <v>2670359</v>
      </c>
      <c r="G20" s="514"/>
      <c r="H20" s="510">
        <f t="shared" si="0"/>
        <v>2670359</v>
      </c>
    </row>
    <row r="21" spans="1:8" ht="19.5" customHeight="1">
      <c r="A21" s="673"/>
      <c r="B21" s="691"/>
      <c r="C21" s="692" t="s">
        <v>520</v>
      </c>
      <c r="D21" s="508" t="s">
        <v>521</v>
      </c>
      <c r="E21" s="513"/>
      <c r="F21" s="514">
        <f>SUM(F18)</f>
        <v>74640000</v>
      </c>
      <c r="G21" s="514"/>
      <c r="H21" s="510">
        <f t="shared" si="0"/>
        <v>74640000</v>
      </c>
    </row>
    <row r="22" spans="1:8" ht="19.5" customHeight="1">
      <c r="A22" s="673"/>
      <c r="B22" s="675"/>
      <c r="C22" s="693"/>
      <c r="D22" s="508" t="s">
        <v>516</v>
      </c>
      <c r="E22" s="513"/>
      <c r="F22" s="514">
        <f>SUM(F19)</f>
        <v>71969641</v>
      </c>
      <c r="G22" s="514"/>
      <c r="H22" s="510">
        <f t="shared" si="0"/>
        <v>71969641</v>
      </c>
    </row>
    <row r="23" spans="1:8" ht="19.5" customHeight="1">
      <c r="A23" s="673"/>
      <c r="B23" s="676"/>
      <c r="C23" s="694"/>
      <c r="D23" s="512" t="s">
        <v>514</v>
      </c>
      <c r="E23" s="513"/>
      <c r="F23" s="514">
        <f>F21-F22</f>
        <v>2670359</v>
      </c>
      <c r="G23" s="514"/>
      <c r="H23" s="510">
        <f t="shared" si="0"/>
        <v>2670359</v>
      </c>
    </row>
    <row r="24" spans="1:8" ht="19.5" customHeight="1">
      <c r="A24" s="673"/>
      <c r="B24" s="675" t="s">
        <v>522</v>
      </c>
      <c r="C24" s="654" t="s">
        <v>523</v>
      </c>
      <c r="D24" s="508" t="s">
        <v>512</v>
      </c>
      <c r="E24" s="509"/>
      <c r="F24" s="510" t="s">
        <v>524</v>
      </c>
      <c r="G24" s="510"/>
      <c r="H24" s="510" t="str">
        <f t="shared" si="0"/>
        <v>-</v>
      </c>
    </row>
    <row r="25" spans="1:8" ht="19.5" customHeight="1">
      <c r="A25" s="673"/>
      <c r="B25" s="675"/>
      <c r="C25" s="655"/>
      <c r="D25" s="508" t="s">
        <v>516</v>
      </c>
      <c r="E25" s="509"/>
      <c r="F25" s="510">
        <v>0</v>
      </c>
      <c r="G25" s="510"/>
      <c r="H25" s="510">
        <f t="shared" si="0"/>
        <v>0</v>
      </c>
    </row>
    <row r="26" spans="1:8" ht="19.5" customHeight="1">
      <c r="A26" s="673"/>
      <c r="B26" s="676"/>
      <c r="C26" s="656"/>
      <c r="D26" s="512" t="s">
        <v>514</v>
      </c>
      <c r="E26" s="513"/>
      <c r="F26" s="514" t="s">
        <v>524</v>
      </c>
      <c r="G26" s="514"/>
      <c r="H26" s="510" t="str">
        <f t="shared" si="0"/>
        <v>-</v>
      </c>
    </row>
    <row r="27" spans="1:8" ht="19.5" customHeight="1">
      <c r="A27" s="673"/>
      <c r="B27" s="691"/>
      <c r="C27" s="692" t="s">
        <v>525</v>
      </c>
      <c r="D27" s="508" t="s">
        <v>526</v>
      </c>
      <c r="E27" s="513"/>
      <c r="F27" s="514">
        <f>SUM(F24)</f>
        <v>0</v>
      </c>
      <c r="G27" s="514"/>
      <c r="H27" s="510">
        <f t="shared" si="0"/>
        <v>0</v>
      </c>
    </row>
    <row r="28" spans="1:8" ht="19.5" customHeight="1">
      <c r="A28" s="673"/>
      <c r="B28" s="675"/>
      <c r="C28" s="693"/>
      <c r="D28" s="508" t="s">
        <v>513</v>
      </c>
      <c r="E28" s="513"/>
      <c r="F28" s="514">
        <f>SUM(F25)</f>
        <v>0</v>
      </c>
      <c r="G28" s="514"/>
      <c r="H28" s="510">
        <f t="shared" si="0"/>
        <v>0</v>
      </c>
    </row>
    <row r="29" spans="1:8" ht="19.5" customHeight="1">
      <c r="A29" s="673"/>
      <c r="B29" s="676"/>
      <c r="C29" s="694"/>
      <c r="D29" s="512" t="s">
        <v>514</v>
      </c>
      <c r="E29" s="513"/>
      <c r="F29" s="514">
        <f>F28-F27</f>
        <v>0</v>
      </c>
      <c r="G29" s="514"/>
      <c r="H29" s="510">
        <f t="shared" si="0"/>
        <v>0</v>
      </c>
    </row>
    <row r="30" spans="1:8" ht="19.5" customHeight="1">
      <c r="A30" s="673"/>
      <c r="B30" s="695" t="s">
        <v>527</v>
      </c>
      <c r="C30" s="698" t="s">
        <v>528</v>
      </c>
      <c r="D30" s="508" t="s">
        <v>512</v>
      </c>
      <c r="E30" s="509"/>
      <c r="F30" s="510"/>
      <c r="G30" s="510">
        <v>18000000</v>
      </c>
      <c r="H30" s="510">
        <f>SUM(F30:G30)</f>
        <v>18000000</v>
      </c>
    </row>
    <row r="31" spans="1:8" ht="19.5" customHeight="1">
      <c r="A31" s="673"/>
      <c r="B31" s="696"/>
      <c r="C31" s="699"/>
      <c r="D31" s="508" t="s">
        <v>516</v>
      </c>
      <c r="E31" s="509"/>
      <c r="F31" s="510">
        <v>10000000</v>
      </c>
      <c r="G31" s="510">
        <v>0</v>
      </c>
      <c r="H31" s="511">
        <f>SUM(F31:G31)</f>
        <v>10000000</v>
      </c>
    </row>
    <row r="32" spans="1:8" ht="19.5" customHeight="1">
      <c r="A32" s="673"/>
      <c r="B32" s="696"/>
      <c r="C32" s="700"/>
      <c r="D32" s="512" t="s">
        <v>514</v>
      </c>
      <c r="E32" s="513"/>
      <c r="F32" s="514">
        <f>F30-F31</f>
        <v>-10000000</v>
      </c>
      <c r="G32" s="514">
        <f>G30-G31</f>
        <v>18000000</v>
      </c>
      <c r="H32" s="510">
        <f>SUM(F32:G32)</f>
        <v>8000000</v>
      </c>
    </row>
    <row r="33" spans="1:8" ht="19.5" customHeight="1">
      <c r="A33" s="673"/>
      <c r="B33" s="696"/>
      <c r="C33" s="698" t="s">
        <v>529</v>
      </c>
      <c r="D33" s="508" t="s">
        <v>512</v>
      </c>
      <c r="E33" s="509"/>
      <c r="F33" s="510">
        <v>2000000</v>
      </c>
      <c r="G33" s="510"/>
      <c r="H33" s="510">
        <f t="shared" si="0"/>
        <v>2000000</v>
      </c>
    </row>
    <row r="34" spans="1:8" ht="19.5" customHeight="1">
      <c r="A34" s="673"/>
      <c r="B34" s="696"/>
      <c r="C34" s="699"/>
      <c r="D34" s="508" t="s">
        <v>516</v>
      </c>
      <c r="E34" s="509"/>
      <c r="F34" s="510">
        <v>1840560</v>
      </c>
      <c r="G34" s="510"/>
      <c r="H34" s="511">
        <f t="shared" si="0"/>
        <v>1840560</v>
      </c>
    </row>
    <row r="35" spans="1:8" ht="19.5" customHeight="1">
      <c r="A35" s="673"/>
      <c r="B35" s="696"/>
      <c r="C35" s="700"/>
      <c r="D35" s="512" t="s">
        <v>514</v>
      </c>
      <c r="E35" s="513"/>
      <c r="F35" s="514">
        <f>F33-F34</f>
        <v>159440</v>
      </c>
      <c r="G35" s="514"/>
      <c r="H35" s="510">
        <f t="shared" si="0"/>
        <v>159440</v>
      </c>
    </row>
    <row r="36" spans="1:8" ht="19.5" customHeight="1">
      <c r="A36" s="673"/>
      <c r="B36" s="696"/>
      <c r="C36" s="698" t="s">
        <v>530</v>
      </c>
      <c r="D36" s="508" t="s">
        <v>512</v>
      </c>
      <c r="E36" s="509"/>
      <c r="F36" s="510">
        <v>3500000</v>
      </c>
      <c r="G36" s="510"/>
      <c r="H36" s="510">
        <f t="shared" si="0"/>
        <v>3500000</v>
      </c>
    </row>
    <row r="37" spans="1:8" ht="19.5" customHeight="1">
      <c r="A37" s="673"/>
      <c r="B37" s="696"/>
      <c r="C37" s="699"/>
      <c r="D37" s="508" t="s">
        <v>516</v>
      </c>
      <c r="E37" s="509"/>
      <c r="F37" s="510">
        <v>3500000</v>
      </c>
      <c r="G37" s="510"/>
      <c r="H37" s="511">
        <f t="shared" si="0"/>
        <v>3500000</v>
      </c>
    </row>
    <row r="38" spans="1:8" ht="19.5" customHeight="1">
      <c r="A38" s="673"/>
      <c r="B38" s="696"/>
      <c r="C38" s="700"/>
      <c r="D38" s="512" t="s">
        <v>514</v>
      </c>
      <c r="E38" s="513"/>
      <c r="F38" s="514">
        <f>F37-F36</f>
        <v>0</v>
      </c>
      <c r="G38" s="514"/>
      <c r="H38" s="510">
        <f t="shared" si="0"/>
        <v>0</v>
      </c>
    </row>
    <row r="39" spans="1:8" ht="19.5" customHeight="1">
      <c r="A39" s="673"/>
      <c r="B39" s="696"/>
      <c r="C39" s="698" t="s">
        <v>531</v>
      </c>
      <c r="D39" s="508" t="s">
        <v>512</v>
      </c>
      <c r="E39" s="509"/>
      <c r="F39" s="510">
        <v>9600000</v>
      </c>
      <c r="G39" s="510"/>
      <c r="H39" s="510">
        <f t="shared" si="0"/>
        <v>9600000</v>
      </c>
    </row>
    <row r="40" spans="1:8" ht="19.5" customHeight="1">
      <c r="A40" s="673"/>
      <c r="B40" s="696"/>
      <c r="C40" s="699"/>
      <c r="D40" s="508" t="s">
        <v>516</v>
      </c>
      <c r="E40" s="509"/>
      <c r="F40" s="510">
        <v>9300000</v>
      </c>
      <c r="G40" s="510"/>
      <c r="H40" s="511">
        <f t="shared" si="0"/>
        <v>9300000</v>
      </c>
    </row>
    <row r="41" spans="1:8" ht="19.5" customHeight="1">
      <c r="A41" s="673"/>
      <c r="B41" s="696"/>
      <c r="C41" s="700"/>
      <c r="D41" s="512" t="s">
        <v>514</v>
      </c>
      <c r="E41" s="513"/>
      <c r="F41" s="514">
        <f>F39-F40</f>
        <v>300000</v>
      </c>
      <c r="G41" s="514"/>
      <c r="H41" s="510">
        <f t="shared" si="0"/>
        <v>300000</v>
      </c>
    </row>
    <row r="42" spans="1:8" ht="19.5" customHeight="1">
      <c r="A42" s="673"/>
      <c r="B42" s="696"/>
      <c r="C42" s="698" t="s">
        <v>532</v>
      </c>
      <c r="D42" s="508" t="s">
        <v>512</v>
      </c>
      <c r="E42" s="509"/>
      <c r="F42" s="510">
        <v>9000000</v>
      </c>
      <c r="G42" s="510"/>
      <c r="H42" s="510">
        <f t="shared" si="0"/>
        <v>9000000</v>
      </c>
    </row>
    <row r="43" spans="1:8" ht="19.5" customHeight="1">
      <c r="A43" s="673"/>
      <c r="B43" s="696"/>
      <c r="C43" s="699"/>
      <c r="D43" s="508" t="s">
        <v>516</v>
      </c>
      <c r="E43" s="509"/>
      <c r="F43" s="510">
        <v>8235000</v>
      </c>
      <c r="G43" s="510"/>
      <c r="H43" s="511">
        <f t="shared" si="0"/>
        <v>8235000</v>
      </c>
    </row>
    <row r="44" spans="1:8" ht="19.5" customHeight="1">
      <c r="A44" s="673"/>
      <c r="B44" s="696"/>
      <c r="C44" s="700"/>
      <c r="D44" s="512" t="s">
        <v>514</v>
      </c>
      <c r="E44" s="513"/>
      <c r="F44" s="514">
        <f>F42-F43</f>
        <v>765000</v>
      </c>
      <c r="G44" s="514"/>
      <c r="H44" s="510">
        <f t="shared" si="0"/>
        <v>765000</v>
      </c>
    </row>
    <row r="45" spans="1:8" ht="19.5" customHeight="1">
      <c r="A45" s="673"/>
      <c r="B45" s="696"/>
      <c r="C45" s="698" t="s">
        <v>533</v>
      </c>
      <c r="D45" s="508" t="s">
        <v>512</v>
      </c>
      <c r="E45" s="509"/>
      <c r="F45" s="510" t="s">
        <v>534</v>
      </c>
      <c r="G45" s="510"/>
      <c r="H45" s="510" t="str">
        <f t="shared" si="0"/>
        <v>-</v>
      </c>
    </row>
    <row r="46" spans="1:8" ht="19.5" customHeight="1">
      <c r="A46" s="673"/>
      <c r="B46" s="696"/>
      <c r="C46" s="699"/>
      <c r="D46" s="508" t="s">
        <v>516</v>
      </c>
      <c r="E46" s="509"/>
      <c r="F46" s="510" t="s">
        <v>534</v>
      </c>
      <c r="G46" s="510"/>
      <c r="H46" s="510" t="str">
        <f t="shared" si="0"/>
        <v>-</v>
      </c>
    </row>
    <row r="47" spans="1:8" ht="19.5" customHeight="1">
      <c r="A47" s="673"/>
      <c r="B47" s="697"/>
      <c r="C47" s="700"/>
      <c r="D47" s="512" t="s">
        <v>535</v>
      </c>
      <c r="E47" s="513"/>
      <c r="F47" s="514" t="s">
        <v>534</v>
      </c>
      <c r="G47" s="514"/>
      <c r="H47" s="510" t="str">
        <f t="shared" si="0"/>
        <v>-</v>
      </c>
    </row>
    <row r="48" spans="1:8" ht="19.5" customHeight="1">
      <c r="A48" s="673"/>
      <c r="B48" s="691"/>
      <c r="C48" s="692" t="s">
        <v>525</v>
      </c>
      <c r="D48" s="508" t="s">
        <v>526</v>
      </c>
      <c r="E48" s="513"/>
      <c r="F48" s="514">
        <f>SUM(F30,F33,F36,F39,F42,F45)</f>
        <v>24100000</v>
      </c>
      <c r="G48" s="514">
        <f>SUM(G30,G33,G36,G39,G42,G45)</f>
        <v>18000000</v>
      </c>
      <c r="H48" s="510">
        <f>SUM(H30+H33+H36+H39+H42)</f>
        <v>42100000</v>
      </c>
    </row>
    <row r="49" spans="1:8" ht="19.5" customHeight="1">
      <c r="A49" s="673"/>
      <c r="B49" s="675"/>
      <c r="C49" s="693"/>
      <c r="D49" s="508" t="s">
        <v>536</v>
      </c>
      <c r="E49" s="513"/>
      <c r="F49" s="514">
        <f>SUM(F31,F34,F37,F40,F43,F46)</f>
        <v>32875560</v>
      </c>
      <c r="G49" s="514">
        <f>SUM(G31,G34,G37,G40,G43,G46)</f>
        <v>0</v>
      </c>
      <c r="H49" s="510">
        <f t="shared" si="0"/>
        <v>32875560</v>
      </c>
    </row>
    <row r="50" spans="1:8" ht="19.5" customHeight="1">
      <c r="A50" s="673"/>
      <c r="B50" s="676"/>
      <c r="C50" s="694"/>
      <c r="D50" s="512" t="s">
        <v>535</v>
      </c>
      <c r="E50" s="513"/>
      <c r="F50" s="514">
        <f>F48-F49</f>
        <v>-8775560</v>
      </c>
      <c r="G50" s="514">
        <f>G48-G49</f>
        <v>18000000</v>
      </c>
      <c r="H50" s="510">
        <f>H48-H49</f>
        <v>9224440</v>
      </c>
    </row>
    <row r="51" spans="1:8" ht="19.5" customHeight="1">
      <c r="A51" s="673"/>
      <c r="B51" s="677" t="s">
        <v>515</v>
      </c>
      <c r="C51" s="678"/>
      <c r="D51" s="515" t="s">
        <v>512</v>
      </c>
      <c r="E51" s="516"/>
      <c r="F51" s="517">
        <f>SUM(F21,F27,F48)</f>
        <v>98740000</v>
      </c>
      <c r="G51" s="517">
        <f>SUM(G21,G27,G48)</f>
        <v>18000000</v>
      </c>
      <c r="H51" s="518">
        <f>SUM(F51:G51)</f>
        <v>116740000</v>
      </c>
    </row>
    <row r="52" spans="1:8" ht="19.5" customHeight="1">
      <c r="A52" s="673"/>
      <c r="B52" s="677"/>
      <c r="C52" s="678"/>
      <c r="D52" s="515" t="s">
        <v>516</v>
      </c>
      <c r="E52" s="516"/>
      <c r="F52" s="517">
        <f>SUM(F22,F28,F49)</f>
        <v>104845201</v>
      </c>
      <c r="G52" s="517">
        <f>SUM(G22,G28,G49)</f>
        <v>0</v>
      </c>
      <c r="H52" s="518">
        <f>SUM(F52:G52)</f>
        <v>104845201</v>
      </c>
    </row>
    <row r="53" spans="1:8" ht="19.5" customHeight="1">
      <c r="A53" s="674"/>
      <c r="B53" s="679"/>
      <c r="C53" s="680"/>
      <c r="D53" s="519" t="s">
        <v>514</v>
      </c>
      <c r="E53" s="516"/>
      <c r="F53" s="517">
        <f>F51-F52</f>
        <v>-6105201</v>
      </c>
      <c r="G53" s="517">
        <f>G52-G51</f>
        <v>-18000000</v>
      </c>
      <c r="H53" s="518">
        <f>H51-H52</f>
        <v>11894799</v>
      </c>
    </row>
    <row r="54" spans="1:8" ht="19.5" customHeight="1">
      <c r="A54" s="672" t="s">
        <v>537</v>
      </c>
      <c r="B54" s="675" t="s">
        <v>537</v>
      </c>
      <c r="C54" s="654" t="s">
        <v>538</v>
      </c>
      <c r="D54" s="508" t="s">
        <v>512</v>
      </c>
      <c r="E54" s="509"/>
      <c r="F54" s="510">
        <v>1200000</v>
      </c>
      <c r="G54" s="510"/>
      <c r="H54" s="510">
        <f t="shared" si="0"/>
        <v>1200000</v>
      </c>
    </row>
    <row r="55" spans="1:8" ht="19.5" customHeight="1">
      <c r="A55" s="673"/>
      <c r="B55" s="675"/>
      <c r="C55" s="655"/>
      <c r="D55" s="508" t="s">
        <v>516</v>
      </c>
      <c r="E55" s="509"/>
      <c r="F55" s="510">
        <v>1200000</v>
      </c>
      <c r="G55" s="510"/>
      <c r="H55" s="511">
        <f t="shared" si="0"/>
        <v>1200000</v>
      </c>
    </row>
    <row r="56" spans="1:8" ht="19.5" customHeight="1">
      <c r="A56" s="673"/>
      <c r="B56" s="676"/>
      <c r="C56" s="656"/>
      <c r="D56" s="512" t="s">
        <v>514</v>
      </c>
      <c r="E56" s="513"/>
      <c r="F56" s="514">
        <f>F55-F54</f>
        <v>0</v>
      </c>
      <c r="G56" s="514"/>
      <c r="H56" s="510">
        <f t="shared" si="0"/>
        <v>0</v>
      </c>
    </row>
    <row r="57" spans="1:8" ht="19.5" customHeight="1">
      <c r="A57" s="673"/>
      <c r="B57" s="677" t="s">
        <v>539</v>
      </c>
      <c r="C57" s="678"/>
      <c r="D57" s="515" t="s">
        <v>540</v>
      </c>
      <c r="E57" s="516"/>
      <c r="F57" s="517">
        <f>F54</f>
        <v>1200000</v>
      </c>
      <c r="G57" s="517"/>
      <c r="H57" s="518">
        <f t="shared" si="0"/>
        <v>1200000</v>
      </c>
    </row>
    <row r="58" spans="1:8" ht="19.5" customHeight="1">
      <c r="A58" s="673"/>
      <c r="B58" s="677"/>
      <c r="C58" s="678"/>
      <c r="D58" s="515" t="s">
        <v>541</v>
      </c>
      <c r="E58" s="516"/>
      <c r="F58" s="517">
        <f>F55</f>
        <v>1200000</v>
      </c>
      <c r="G58" s="517"/>
      <c r="H58" s="518">
        <f t="shared" si="0"/>
        <v>1200000</v>
      </c>
    </row>
    <row r="59" spans="1:8" ht="19.5" customHeight="1">
      <c r="A59" s="674"/>
      <c r="B59" s="679"/>
      <c r="C59" s="680"/>
      <c r="D59" s="519" t="s">
        <v>542</v>
      </c>
      <c r="E59" s="516"/>
      <c r="F59" s="517">
        <f>F58-F57</f>
        <v>0</v>
      </c>
      <c r="G59" s="517"/>
      <c r="H59" s="518">
        <f t="shared" si="0"/>
        <v>0</v>
      </c>
    </row>
    <row r="60" spans="1:8" ht="19.5" customHeight="1">
      <c r="A60" s="672" t="s">
        <v>543</v>
      </c>
      <c r="B60" s="675" t="s">
        <v>543</v>
      </c>
      <c r="C60" s="654" t="s">
        <v>543</v>
      </c>
      <c r="D60" s="508" t="s">
        <v>540</v>
      </c>
      <c r="E60" s="509"/>
      <c r="F60" s="510">
        <v>2000000</v>
      </c>
      <c r="G60" s="510"/>
      <c r="H60" s="510">
        <f t="shared" si="0"/>
        <v>2000000</v>
      </c>
    </row>
    <row r="61" spans="1:8" ht="19.5" customHeight="1">
      <c r="A61" s="673"/>
      <c r="B61" s="675"/>
      <c r="C61" s="655"/>
      <c r="D61" s="508" t="s">
        <v>513</v>
      </c>
      <c r="E61" s="509"/>
      <c r="F61" s="510"/>
      <c r="G61" s="510">
        <v>500000</v>
      </c>
      <c r="H61" s="511">
        <f>SUM(F61:G61)</f>
        <v>500000</v>
      </c>
    </row>
    <row r="62" spans="1:8" ht="19.5" customHeight="1">
      <c r="A62" s="673"/>
      <c r="B62" s="676"/>
      <c r="C62" s="656"/>
      <c r="D62" s="512" t="s">
        <v>514</v>
      </c>
      <c r="E62" s="513"/>
      <c r="F62" s="514">
        <f>F60-F61</f>
        <v>2000000</v>
      </c>
      <c r="G62" s="514">
        <f>G61</f>
        <v>500000</v>
      </c>
      <c r="H62" s="510">
        <f>H60-H61</f>
        <v>1500000</v>
      </c>
    </row>
    <row r="63" spans="1:8" ht="19.5" customHeight="1">
      <c r="A63" s="673"/>
      <c r="B63" s="677" t="s">
        <v>544</v>
      </c>
      <c r="C63" s="678"/>
      <c r="D63" s="515" t="s">
        <v>545</v>
      </c>
      <c r="E63" s="516"/>
      <c r="F63" s="517">
        <f>F60</f>
        <v>2000000</v>
      </c>
      <c r="G63" s="517"/>
      <c r="H63" s="518">
        <f t="shared" si="0"/>
        <v>2000000</v>
      </c>
    </row>
    <row r="64" spans="1:8" ht="19.5" customHeight="1">
      <c r="A64" s="673"/>
      <c r="B64" s="677"/>
      <c r="C64" s="678"/>
      <c r="D64" s="515" t="s">
        <v>513</v>
      </c>
      <c r="E64" s="516"/>
      <c r="F64" s="517">
        <f>F61</f>
        <v>0</v>
      </c>
      <c r="G64" s="517">
        <f>G61</f>
        <v>500000</v>
      </c>
      <c r="H64" s="518">
        <f>G64</f>
        <v>500000</v>
      </c>
    </row>
    <row r="65" spans="1:8" ht="19.5" customHeight="1">
      <c r="A65" s="674"/>
      <c r="B65" s="679"/>
      <c r="C65" s="680"/>
      <c r="D65" s="519" t="s">
        <v>514</v>
      </c>
      <c r="E65" s="516"/>
      <c r="F65" s="517">
        <f>F63-F64</f>
        <v>2000000</v>
      </c>
      <c r="G65" s="517">
        <f>G62</f>
        <v>500000</v>
      </c>
      <c r="H65" s="518">
        <f>H63-H64</f>
        <v>1500000</v>
      </c>
    </row>
    <row r="66" spans="1:8" ht="19.5" customHeight="1">
      <c r="A66" s="672" t="s">
        <v>546</v>
      </c>
      <c r="B66" s="675" t="s">
        <v>546</v>
      </c>
      <c r="C66" s="654" t="s">
        <v>547</v>
      </c>
      <c r="D66" s="508" t="s">
        <v>512</v>
      </c>
      <c r="E66" s="509"/>
      <c r="F66" s="510">
        <v>3000000</v>
      </c>
      <c r="G66" s="510"/>
      <c r="H66" s="510">
        <f>F66</f>
        <v>3000000</v>
      </c>
    </row>
    <row r="67" spans="1:8" ht="19.5" customHeight="1">
      <c r="A67" s="673"/>
      <c r="B67" s="675"/>
      <c r="C67" s="655"/>
      <c r="D67" s="508" t="s">
        <v>516</v>
      </c>
      <c r="E67" s="509"/>
      <c r="F67" s="510">
        <v>3000000</v>
      </c>
      <c r="G67" s="510"/>
      <c r="H67" s="511">
        <f>F67</f>
        <v>3000000</v>
      </c>
    </row>
    <row r="68" spans="1:8" ht="19.5" customHeight="1">
      <c r="A68" s="673"/>
      <c r="B68" s="676"/>
      <c r="C68" s="656"/>
      <c r="D68" s="512" t="s">
        <v>514</v>
      </c>
      <c r="E68" s="513"/>
      <c r="F68" s="514">
        <f>F67-F66</f>
        <v>0</v>
      </c>
      <c r="G68" s="514"/>
      <c r="H68" s="510">
        <f t="shared" si="0"/>
        <v>0</v>
      </c>
    </row>
    <row r="69" spans="1:8" ht="19.5" customHeight="1">
      <c r="A69" s="673"/>
      <c r="B69" s="677" t="s">
        <v>515</v>
      </c>
      <c r="C69" s="678"/>
      <c r="D69" s="515" t="s">
        <v>512</v>
      </c>
      <c r="E69" s="516"/>
      <c r="F69" s="517">
        <f>F66</f>
        <v>3000000</v>
      </c>
      <c r="G69" s="517"/>
      <c r="H69" s="518">
        <f t="shared" si="0"/>
        <v>3000000</v>
      </c>
    </row>
    <row r="70" spans="1:8" ht="19.5" customHeight="1">
      <c r="A70" s="673"/>
      <c r="B70" s="677"/>
      <c r="C70" s="678"/>
      <c r="D70" s="515" t="s">
        <v>513</v>
      </c>
      <c r="E70" s="516"/>
      <c r="F70" s="517">
        <f>F67</f>
        <v>3000000</v>
      </c>
      <c r="G70" s="517"/>
      <c r="H70" s="518">
        <f t="shared" si="0"/>
        <v>3000000</v>
      </c>
    </row>
    <row r="71" spans="1:8" ht="19.5" customHeight="1">
      <c r="A71" s="674"/>
      <c r="B71" s="679"/>
      <c r="C71" s="680"/>
      <c r="D71" s="519" t="s">
        <v>514</v>
      </c>
      <c r="E71" s="516"/>
      <c r="F71" s="517">
        <f>F70-F69</f>
        <v>0</v>
      </c>
      <c r="G71" s="517"/>
      <c r="H71" s="518">
        <f t="shared" si="0"/>
        <v>0</v>
      </c>
    </row>
    <row r="72" spans="1:8" ht="19.5" customHeight="1">
      <c r="A72" s="672" t="s">
        <v>548</v>
      </c>
      <c r="B72" s="675" t="s">
        <v>548</v>
      </c>
      <c r="C72" s="654" t="s">
        <v>549</v>
      </c>
      <c r="D72" s="508" t="s">
        <v>512</v>
      </c>
      <c r="E72" s="509"/>
      <c r="F72" s="510">
        <v>20146013</v>
      </c>
      <c r="G72" s="510"/>
      <c r="H72" s="510">
        <f>F72</f>
        <v>20146013</v>
      </c>
    </row>
    <row r="73" spans="1:8" ht="19.5" customHeight="1">
      <c r="A73" s="673"/>
      <c r="B73" s="675"/>
      <c r="C73" s="655"/>
      <c r="D73" s="508" t="s">
        <v>516</v>
      </c>
      <c r="E73" s="509"/>
      <c r="F73" s="520">
        <v>45790641</v>
      </c>
      <c r="G73" s="510"/>
      <c r="H73" s="511">
        <f>F73</f>
        <v>45790641</v>
      </c>
    </row>
    <row r="74" spans="1:8" ht="19.5" customHeight="1">
      <c r="A74" s="673"/>
      <c r="B74" s="675"/>
      <c r="C74" s="656"/>
      <c r="D74" s="512" t="s">
        <v>514</v>
      </c>
      <c r="E74" s="513"/>
      <c r="F74" s="514">
        <f>F72-F73</f>
        <v>-25644628</v>
      </c>
      <c r="G74" s="514"/>
      <c r="H74" s="510">
        <f>H72-H73</f>
        <v>-25644628</v>
      </c>
    </row>
    <row r="75" spans="1:8" ht="19.5" customHeight="1">
      <c r="A75" s="521"/>
      <c r="B75" s="677" t="s">
        <v>515</v>
      </c>
      <c r="C75" s="678"/>
      <c r="D75" s="515" t="s">
        <v>512</v>
      </c>
      <c r="E75" s="516"/>
      <c r="F75" s="517">
        <f>F72</f>
        <v>20146013</v>
      </c>
      <c r="G75" s="517"/>
      <c r="H75" s="518">
        <f t="shared" si="0"/>
        <v>20146013</v>
      </c>
    </row>
    <row r="76" spans="1:8" ht="19.5" customHeight="1">
      <c r="A76" s="521"/>
      <c r="B76" s="677"/>
      <c r="C76" s="678"/>
      <c r="D76" s="515" t="s">
        <v>516</v>
      </c>
      <c r="E76" s="516"/>
      <c r="F76" s="517">
        <f>F73</f>
        <v>45790641</v>
      </c>
      <c r="G76" s="517"/>
      <c r="H76" s="518">
        <f t="shared" si="0"/>
        <v>45790641</v>
      </c>
    </row>
    <row r="77" spans="1:8" ht="19.5" customHeight="1">
      <c r="A77" s="522"/>
      <c r="B77" s="679"/>
      <c r="C77" s="680"/>
      <c r="D77" s="519" t="s">
        <v>514</v>
      </c>
      <c r="E77" s="516"/>
      <c r="F77" s="517">
        <f>F75-F76</f>
        <v>-25644628</v>
      </c>
      <c r="G77" s="517"/>
      <c r="H77" s="518">
        <f>H75-H76</f>
        <v>-25644628</v>
      </c>
    </row>
    <row r="78" spans="1:8" ht="19.5" customHeight="1">
      <c r="A78" s="672" t="s">
        <v>550</v>
      </c>
      <c r="B78" s="675" t="s">
        <v>550</v>
      </c>
      <c r="C78" s="654" t="s">
        <v>551</v>
      </c>
      <c r="D78" s="508" t="s">
        <v>512</v>
      </c>
      <c r="E78" s="509"/>
      <c r="F78" s="510">
        <v>12000000</v>
      </c>
      <c r="G78" s="510"/>
      <c r="H78" s="510">
        <f>F78</f>
        <v>12000000</v>
      </c>
    </row>
    <row r="79" spans="1:8" ht="19.5" customHeight="1">
      <c r="A79" s="673"/>
      <c r="B79" s="675"/>
      <c r="C79" s="655"/>
      <c r="D79" s="508" t="s">
        <v>516</v>
      </c>
      <c r="E79" s="509"/>
      <c r="F79" s="510">
        <f>8955010+1765</f>
        <v>8956775</v>
      </c>
      <c r="G79" s="510"/>
      <c r="H79" s="511">
        <f>F79</f>
        <v>8956775</v>
      </c>
    </row>
    <row r="80" spans="1:8" ht="19.5" customHeight="1">
      <c r="A80" s="673"/>
      <c r="B80" s="676"/>
      <c r="C80" s="656"/>
      <c r="D80" s="512" t="s">
        <v>514</v>
      </c>
      <c r="E80" s="513"/>
      <c r="F80" s="514">
        <f>F78-F79</f>
        <v>3043225</v>
      </c>
      <c r="G80" s="514"/>
      <c r="H80" s="510">
        <f t="shared" ref="H80:H101" si="1">F80</f>
        <v>3043225</v>
      </c>
    </row>
    <row r="81" spans="1:8" ht="19.5" customHeight="1">
      <c r="A81" s="673"/>
      <c r="B81" s="677" t="s">
        <v>515</v>
      </c>
      <c r="C81" s="678"/>
      <c r="D81" s="515" t="s">
        <v>512</v>
      </c>
      <c r="E81" s="516"/>
      <c r="F81" s="517">
        <f>F78</f>
        <v>12000000</v>
      </c>
      <c r="G81" s="517"/>
      <c r="H81" s="518">
        <f t="shared" si="1"/>
        <v>12000000</v>
      </c>
    </row>
    <row r="82" spans="1:8" ht="19.5" customHeight="1">
      <c r="A82" s="673"/>
      <c r="B82" s="677"/>
      <c r="C82" s="678"/>
      <c r="D82" s="515" t="s">
        <v>516</v>
      </c>
      <c r="E82" s="516"/>
      <c r="F82" s="517">
        <f>F79</f>
        <v>8956775</v>
      </c>
      <c r="G82" s="517"/>
      <c r="H82" s="518">
        <f t="shared" si="1"/>
        <v>8956775</v>
      </c>
    </row>
    <row r="83" spans="1:8" ht="19.5" customHeight="1">
      <c r="A83" s="674"/>
      <c r="B83" s="679"/>
      <c r="C83" s="680"/>
      <c r="D83" s="519" t="s">
        <v>514</v>
      </c>
      <c r="E83" s="516"/>
      <c r="F83" s="517">
        <f>F81-F82</f>
        <v>3043225</v>
      </c>
      <c r="G83" s="517"/>
      <c r="H83" s="518">
        <f t="shared" si="1"/>
        <v>3043225</v>
      </c>
    </row>
    <row r="84" spans="1:8" ht="19.5" customHeight="1">
      <c r="A84" s="672" t="s">
        <v>552</v>
      </c>
      <c r="B84" s="675" t="s">
        <v>552</v>
      </c>
      <c r="C84" s="654" t="s">
        <v>552</v>
      </c>
      <c r="D84" s="508" t="s">
        <v>521</v>
      </c>
      <c r="E84" s="509"/>
      <c r="F84" s="510">
        <v>3200000</v>
      </c>
      <c r="G84" s="510"/>
      <c r="H84" s="510">
        <f>F84</f>
        <v>3200000</v>
      </c>
    </row>
    <row r="85" spans="1:8" ht="19.5" customHeight="1">
      <c r="A85" s="673"/>
      <c r="B85" s="675"/>
      <c r="C85" s="655"/>
      <c r="D85" s="508" t="s">
        <v>553</v>
      </c>
      <c r="E85" s="509"/>
      <c r="F85" s="510">
        <v>3714678</v>
      </c>
      <c r="G85" s="510"/>
      <c r="H85" s="510">
        <f>F85</f>
        <v>3714678</v>
      </c>
    </row>
    <row r="86" spans="1:8" ht="19.5" customHeight="1">
      <c r="A86" s="673"/>
      <c r="B86" s="676"/>
      <c r="C86" s="656"/>
      <c r="D86" s="512" t="s">
        <v>542</v>
      </c>
      <c r="E86" s="513"/>
      <c r="F86" s="514">
        <f>F84-F85</f>
        <v>-514678</v>
      </c>
      <c r="G86" s="514"/>
      <c r="H86" s="510">
        <f t="shared" si="1"/>
        <v>-514678</v>
      </c>
    </row>
    <row r="87" spans="1:8" ht="19.5" customHeight="1">
      <c r="A87" s="673"/>
      <c r="B87" s="677" t="s">
        <v>515</v>
      </c>
      <c r="C87" s="678"/>
      <c r="D87" s="515" t="s">
        <v>512</v>
      </c>
      <c r="E87" s="516"/>
      <c r="F87" s="517">
        <f>F84</f>
        <v>3200000</v>
      </c>
      <c r="G87" s="517"/>
      <c r="H87" s="518">
        <f t="shared" si="1"/>
        <v>3200000</v>
      </c>
    </row>
    <row r="88" spans="1:8" ht="19.5" customHeight="1">
      <c r="A88" s="673"/>
      <c r="B88" s="677"/>
      <c r="C88" s="678"/>
      <c r="D88" s="515" t="s">
        <v>516</v>
      </c>
      <c r="E88" s="516"/>
      <c r="F88" s="517">
        <f>F85</f>
        <v>3714678</v>
      </c>
      <c r="G88" s="517"/>
      <c r="H88" s="518">
        <f t="shared" si="1"/>
        <v>3714678</v>
      </c>
    </row>
    <row r="89" spans="1:8" ht="19.5" customHeight="1">
      <c r="A89" s="674"/>
      <c r="B89" s="679"/>
      <c r="C89" s="678"/>
      <c r="D89" s="519" t="s">
        <v>542</v>
      </c>
      <c r="E89" s="516"/>
      <c r="F89" s="517">
        <f>F87-F88</f>
        <v>-514678</v>
      </c>
      <c r="G89" s="517"/>
      <c r="H89" s="518">
        <f t="shared" si="1"/>
        <v>-514678</v>
      </c>
    </row>
    <row r="90" spans="1:8" ht="19.5" customHeight="1">
      <c r="A90" s="672" t="s">
        <v>554</v>
      </c>
      <c r="B90" s="675" t="s">
        <v>555</v>
      </c>
      <c r="C90" s="654" t="s">
        <v>555</v>
      </c>
      <c r="D90" s="508" t="s">
        <v>512</v>
      </c>
      <c r="E90" s="509"/>
      <c r="F90" s="510">
        <v>0</v>
      </c>
      <c r="G90" s="510"/>
      <c r="H90" s="510">
        <v>0</v>
      </c>
    </row>
    <row r="91" spans="1:8" ht="19.5" customHeight="1">
      <c r="A91" s="673"/>
      <c r="B91" s="675"/>
      <c r="C91" s="655"/>
      <c r="D91" s="508" t="s">
        <v>516</v>
      </c>
      <c r="E91" s="509"/>
      <c r="F91" s="510">
        <v>2573780</v>
      </c>
      <c r="G91" s="510"/>
      <c r="H91" s="510">
        <v>2573780</v>
      </c>
    </row>
    <row r="92" spans="1:8" ht="19.5" customHeight="1">
      <c r="A92" s="673"/>
      <c r="B92" s="676"/>
      <c r="C92" s="656"/>
      <c r="D92" s="512" t="s">
        <v>514</v>
      </c>
      <c r="E92" s="513"/>
      <c r="F92" s="514">
        <f>F91-F90</f>
        <v>2573780</v>
      </c>
      <c r="G92" s="514"/>
      <c r="H92" s="510">
        <f>F92</f>
        <v>2573780</v>
      </c>
    </row>
    <row r="93" spans="1:8" ht="19.5" customHeight="1">
      <c r="A93" s="673"/>
      <c r="B93" s="677" t="s">
        <v>556</v>
      </c>
      <c r="C93" s="678"/>
      <c r="D93" s="515" t="s">
        <v>557</v>
      </c>
      <c r="E93" s="516"/>
      <c r="F93" s="517">
        <f>F90</f>
        <v>0</v>
      </c>
      <c r="G93" s="517"/>
      <c r="H93" s="518">
        <f>F93</f>
        <v>0</v>
      </c>
    </row>
    <row r="94" spans="1:8" ht="19.5" customHeight="1">
      <c r="A94" s="673"/>
      <c r="B94" s="677"/>
      <c r="C94" s="678"/>
      <c r="D94" s="515" t="s">
        <v>513</v>
      </c>
      <c r="E94" s="516"/>
      <c r="F94" s="517">
        <f>F91</f>
        <v>2573780</v>
      </c>
      <c r="G94" s="517"/>
      <c r="H94" s="518">
        <f>F94</f>
        <v>2573780</v>
      </c>
    </row>
    <row r="95" spans="1:8" ht="19.5" customHeight="1">
      <c r="A95" s="674"/>
      <c r="B95" s="679"/>
      <c r="C95" s="680"/>
      <c r="D95" s="519" t="s">
        <v>514</v>
      </c>
      <c r="E95" s="516"/>
      <c r="F95" s="517">
        <f>F94-F93</f>
        <v>2573780</v>
      </c>
      <c r="G95" s="517"/>
      <c r="H95" s="518">
        <f>F95</f>
        <v>2573780</v>
      </c>
    </row>
    <row r="96" spans="1:8" ht="19.5" customHeight="1">
      <c r="A96" s="672" t="s">
        <v>558</v>
      </c>
      <c r="B96" s="675" t="s">
        <v>558</v>
      </c>
      <c r="C96" s="654" t="s">
        <v>558</v>
      </c>
      <c r="D96" s="508" t="s">
        <v>559</v>
      </c>
      <c r="E96" s="509"/>
      <c r="F96" s="510">
        <v>0</v>
      </c>
      <c r="G96" s="510"/>
      <c r="H96" s="510">
        <f t="shared" si="1"/>
        <v>0</v>
      </c>
    </row>
    <row r="97" spans="1:10" ht="19.5" customHeight="1">
      <c r="A97" s="673"/>
      <c r="B97" s="675"/>
      <c r="C97" s="655"/>
      <c r="D97" s="508" t="s">
        <v>560</v>
      </c>
      <c r="E97" s="509"/>
      <c r="F97" s="510">
        <v>0</v>
      </c>
      <c r="G97" s="510"/>
      <c r="H97" s="510">
        <f t="shared" si="1"/>
        <v>0</v>
      </c>
    </row>
    <row r="98" spans="1:10" ht="19.5" customHeight="1">
      <c r="A98" s="673"/>
      <c r="B98" s="676"/>
      <c r="C98" s="656"/>
      <c r="D98" s="512" t="s">
        <v>517</v>
      </c>
      <c r="E98" s="513"/>
      <c r="F98" s="514">
        <f>F97-F96</f>
        <v>0</v>
      </c>
      <c r="G98" s="514"/>
      <c r="H98" s="510">
        <f t="shared" si="1"/>
        <v>0</v>
      </c>
    </row>
    <row r="99" spans="1:10" ht="19.5" customHeight="1">
      <c r="A99" s="673"/>
      <c r="B99" s="677" t="s">
        <v>515</v>
      </c>
      <c r="C99" s="678"/>
      <c r="D99" s="515" t="s">
        <v>512</v>
      </c>
      <c r="E99" s="516"/>
      <c r="F99" s="517">
        <v>0</v>
      </c>
      <c r="G99" s="517"/>
      <c r="H99" s="518">
        <f t="shared" si="1"/>
        <v>0</v>
      </c>
    </row>
    <row r="100" spans="1:10" ht="19.5" customHeight="1">
      <c r="A100" s="673"/>
      <c r="B100" s="677"/>
      <c r="C100" s="678"/>
      <c r="D100" s="515" t="s">
        <v>516</v>
      </c>
      <c r="E100" s="516"/>
      <c r="F100" s="517">
        <v>0</v>
      </c>
      <c r="G100" s="517"/>
      <c r="H100" s="518">
        <f t="shared" si="1"/>
        <v>0</v>
      </c>
    </row>
    <row r="101" spans="1:10" ht="19.5" customHeight="1">
      <c r="A101" s="674"/>
      <c r="B101" s="679"/>
      <c r="C101" s="680"/>
      <c r="D101" s="519" t="s">
        <v>514</v>
      </c>
      <c r="E101" s="516"/>
      <c r="F101" s="517">
        <v>0</v>
      </c>
      <c r="G101" s="517"/>
      <c r="H101" s="518">
        <f t="shared" si="1"/>
        <v>0</v>
      </c>
    </row>
    <row r="102" spans="1:10" ht="19.5" customHeight="1">
      <c r="A102" s="681" t="s">
        <v>561</v>
      </c>
      <c r="B102" s="682"/>
      <c r="C102" s="683"/>
      <c r="D102" s="523" t="s">
        <v>512</v>
      </c>
      <c r="E102" s="524"/>
      <c r="F102" s="525">
        <f>SUM(F15,F51,F57,F63,F69,F75,F81,F87,F99)</f>
        <v>165286013</v>
      </c>
      <c r="G102" s="525">
        <f>SUM(G15,G51,G57,G63,G69,G75,G81,G87,G99)</f>
        <v>18000000</v>
      </c>
      <c r="H102" s="526">
        <f>SUM(F102:G102)</f>
        <v>183286013</v>
      </c>
      <c r="J102" s="527"/>
    </row>
    <row r="103" spans="1:10" ht="19.5" customHeight="1">
      <c r="A103" s="684"/>
      <c r="B103" s="685"/>
      <c r="C103" s="686"/>
      <c r="D103" s="523" t="s">
        <v>516</v>
      </c>
      <c r="E103" s="524"/>
      <c r="F103" s="525">
        <f>SUM(F16,F52,F58,F64,F70,F76,F82,F88,F100,F94)</f>
        <v>188576998</v>
      </c>
      <c r="G103" s="525">
        <f>SUM(G16,G52,G58,G64,G70,G76,G82,G88,G100)</f>
        <v>500000</v>
      </c>
      <c r="H103" s="526">
        <f>SUM(F103:G103)</f>
        <v>189076998</v>
      </c>
    </row>
    <row r="104" spans="1:10" ht="19.5" customHeight="1">
      <c r="A104" s="687"/>
      <c r="B104" s="688"/>
      <c r="C104" s="689"/>
      <c r="D104" s="528" t="s">
        <v>514</v>
      </c>
      <c r="E104" s="524"/>
      <c r="F104" s="525">
        <f>F103-F102</f>
        <v>23290985</v>
      </c>
      <c r="G104" s="525">
        <f>G103-G102</f>
        <v>-17500000</v>
      </c>
      <c r="H104" s="526">
        <f>H103-H102</f>
        <v>5790985</v>
      </c>
      <c r="J104" s="527"/>
    </row>
    <row r="105" spans="1:10" ht="17.100000000000001" customHeight="1">
      <c r="A105" s="529" t="s">
        <v>562</v>
      </c>
    </row>
    <row r="106" spans="1:10" ht="17.100000000000001" customHeight="1">
      <c r="A106" s="690" t="s">
        <v>563</v>
      </c>
      <c r="B106" s="690"/>
      <c r="C106" s="690"/>
      <c r="D106" s="690"/>
      <c r="E106" s="690"/>
      <c r="F106" s="690"/>
      <c r="G106" s="690"/>
      <c r="H106" s="690"/>
    </row>
    <row r="107" spans="1:10" ht="17.100000000000001" customHeight="1">
      <c r="A107" s="667" t="s">
        <v>564</v>
      </c>
      <c r="B107" s="667"/>
      <c r="C107" s="667"/>
      <c r="D107" s="667"/>
      <c r="E107" s="667"/>
      <c r="F107" s="667"/>
      <c r="G107" s="667"/>
      <c r="H107" s="667"/>
    </row>
    <row r="108" spans="1:10" ht="27.75" customHeight="1">
      <c r="A108" s="668" t="s">
        <v>565</v>
      </c>
      <c r="B108" s="668"/>
      <c r="C108" s="668"/>
      <c r="D108" s="668"/>
      <c r="E108" s="668"/>
      <c r="F108" s="668"/>
      <c r="G108" s="668"/>
      <c r="H108" s="668"/>
    </row>
    <row r="109" spans="1:10" ht="19.5" customHeight="1">
      <c r="A109" s="669" t="s">
        <v>503</v>
      </c>
      <c r="B109" s="669"/>
      <c r="C109" s="669"/>
      <c r="D109" s="669" t="s">
        <v>566</v>
      </c>
      <c r="E109" s="669" t="s">
        <v>567</v>
      </c>
      <c r="F109" s="670" t="s">
        <v>568</v>
      </c>
      <c r="G109" s="671" t="s">
        <v>569</v>
      </c>
      <c r="H109" s="669" t="s">
        <v>570</v>
      </c>
    </row>
    <row r="110" spans="1:10" ht="19.5" customHeight="1">
      <c r="A110" s="507" t="s">
        <v>13</v>
      </c>
      <c r="B110" s="507" t="s">
        <v>14</v>
      </c>
      <c r="C110" s="507" t="s">
        <v>15</v>
      </c>
      <c r="D110" s="669"/>
      <c r="E110" s="669"/>
      <c r="F110" s="670"/>
      <c r="G110" s="671"/>
      <c r="H110" s="669"/>
    </row>
    <row r="111" spans="1:10" ht="19.5" customHeight="1">
      <c r="A111" s="654" t="s">
        <v>571</v>
      </c>
      <c r="B111" s="654" t="s">
        <v>572</v>
      </c>
      <c r="C111" s="662" t="s">
        <v>573</v>
      </c>
      <c r="D111" s="530" t="s">
        <v>512</v>
      </c>
      <c r="E111" s="531"/>
      <c r="F111" s="532">
        <v>52693380</v>
      </c>
      <c r="G111" s="533"/>
      <c r="H111" s="534">
        <f>SUM(F111:G111)</f>
        <v>52693380</v>
      </c>
    </row>
    <row r="112" spans="1:10" ht="19.5" customHeight="1">
      <c r="A112" s="655"/>
      <c r="B112" s="655"/>
      <c r="C112" s="662"/>
      <c r="D112" s="530" t="s">
        <v>516</v>
      </c>
      <c r="E112" s="531"/>
      <c r="F112" s="532">
        <v>52693300</v>
      </c>
      <c r="G112" s="533"/>
      <c r="H112" s="534">
        <f t="shared" ref="H112:H121" si="2">SUM(F112:G112)</f>
        <v>52693300</v>
      </c>
    </row>
    <row r="113" spans="1:8" ht="19.5" customHeight="1">
      <c r="A113" s="655"/>
      <c r="B113" s="655"/>
      <c r="C113" s="662"/>
      <c r="D113" s="535" t="s">
        <v>514</v>
      </c>
      <c r="E113" s="531"/>
      <c r="F113" s="532">
        <f>F111-F112</f>
        <v>80</v>
      </c>
      <c r="G113" s="533"/>
      <c r="H113" s="534">
        <f t="shared" si="2"/>
        <v>80</v>
      </c>
    </row>
    <row r="114" spans="1:8" ht="19.5" customHeight="1">
      <c r="A114" s="655"/>
      <c r="B114" s="655"/>
      <c r="C114" s="662" t="s">
        <v>574</v>
      </c>
      <c r="D114" s="530" t="s">
        <v>512</v>
      </c>
      <c r="E114" s="531"/>
      <c r="F114" s="532">
        <v>5088430</v>
      </c>
      <c r="G114" s="533"/>
      <c r="H114" s="534">
        <f>SUM(F114:G114)</f>
        <v>5088430</v>
      </c>
    </row>
    <row r="115" spans="1:8" ht="19.5" customHeight="1">
      <c r="A115" s="655"/>
      <c r="B115" s="655"/>
      <c r="C115" s="662"/>
      <c r="D115" s="530" t="s">
        <v>516</v>
      </c>
      <c r="E115" s="531"/>
      <c r="F115" s="532">
        <v>4500000</v>
      </c>
      <c r="G115" s="533"/>
      <c r="H115" s="534">
        <f t="shared" si="2"/>
        <v>4500000</v>
      </c>
    </row>
    <row r="116" spans="1:8" ht="19.5" customHeight="1">
      <c r="A116" s="655"/>
      <c r="B116" s="655"/>
      <c r="C116" s="662"/>
      <c r="D116" s="535" t="s">
        <v>514</v>
      </c>
      <c r="E116" s="531"/>
      <c r="F116" s="532">
        <f>F114-F115</f>
        <v>588430</v>
      </c>
      <c r="G116" s="533"/>
      <c r="H116" s="534">
        <f t="shared" si="2"/>
        <v>588430</v>
      </c>
    </row>
    <row r="117" spans="1:8" ht="19.5" customHeight="1">
      <c r="A117" s="655"/>
      <c r="B117" s="655"/>
      <c r="C117" s="662" t="s">
        <v>575</v>
      </c>
      <c r="D117" s="530" t="s">
        <v>540</v>
      </c>
      <c r="E117" s="531"/>
      <c r="F117" s="532">
        <v>200000</v>
      </c>
      <c r="G117" s="533"/>
      <c r="H117" s="534">
        <f t="shared" si="2"/>
        <v>200000</v>
      </c>
    </row>
    <row r="118" spans="1:8" ht="19.5" customHeight="1">
      <c r="A118" s="655"/>
      <c r="B118" s="655"/>
      <c r="C118" s="662"/>
      <c r="D118" s="530" t="s">
        <v>513</v>
      </c>
      <c r="E118" s="531"/>
      <c r="F118" s="532">
        <v>0</v>
      </c>
      <c r="G118" s="533"/>
      <c r="H118" s="534">
        <f t="shared" si="2"/>
        <v>0</v>
      </c>
    </row>
    <row r="119" spans="1:8" ht="19.5" customHeight="1">
      <c r="A119" s="655"/>
      <c r="B119" s="655"/>
      <c r="C119" s="662"/>
      <c r="D119" s="535" t="s">
        <v>576</v>
      </c>
      <c r="E119" s="531"/>
      <c r="F119" s="532">
        <f>F117-F118</f>
        <v>200000</v>
      </c>
      <c r="G119" s="533"/>
      <c r="H119" s="534">
        <f t="shared" si="2"/>
        <v>200000</v>
      </c>
    </row>
    <row r="120" spans="1:8" ht="19.5" customHeight="1">
      <c r="A120" s="655"/>
      <c r="B120" s="655"/>
      <c r="C120" s="662" t="s">
        <v>577</v>
      </c>
      <c r="D120" s="530" t="s">
        <v>512</v>
      </c>
      <c r="E120" s="531"/>
      <c r="F120" s="532">
        <v>5269338</v>
      </c>
      <c r="G120" s="533"/>
      <c r="H120" s="534">
        <f t="shared" si="2"/>
        <v>5269338</v>
      </c>
    </row>
    <row r="121" spans="1:8" ht="19.5" customHeight="1">
      <c r="A121" s="655"/>
      <c r="B121" s="655"/>
      <c r="C121" s="662"/>
      <c r="D121" s="530" t="s">
        <v>516</v>
      </c>
      <c r="E121" s="531"/>
      <c r="F121" s="532">
        <v>3776785</v>
      </c>
      <c r="G121" s="533"/>
      <c r="H121" s="534">
        <f t="shared" si="2"/>
        <v>3776785</v>
      </c>
    </row>
    <row r="122" spans="1:8" ht="19.5" customHeight="1">
      <c r="A122" s="655"/>
      <c r="B122" s="656"/>
      <c r="C122" s="662"/>
      <c r="D122" s="535" t="s">
        <v>514</v>
      </c>
      <c r="E122" s="531"/>
      <c r="F122" s="532">
        <f>F120-F121</f>
        <v>1492553</v>
      </c>
      <c r="G122" s="533"/>
      <c r="H122" s="534">
        <f t="shared" ref="H122:H185" si="3">SUM(E122:G122)</f>
        <v>1492553</v>
      </c>
    </row>
    <row r="123" spans="1:8" ht="17.25">
      <c r="A123" s="655"/>
      <c r="B123" s="664"/>
      <c r="C123" s="657" t="s">
        <v>515</v>
      </c>
      <c r="D123" s="530" t="s">
        <v>512</v>
      </c>
      <c r="E123" s="531"/>
      <c r="F123" s="532">
        <f>F111+F114+F117+F120</f>
        <v>63251148</v>
      </c>
      <c r="G123" s="533"/>
      <c r="H123" s="534">
        <f t="shared" si="3"/>
        <v>63251148</v>
      </c>
    </row>
    <row r="124" spans="1:8" ht="17.25">
      <c r="A124" s="655"/>
      <c r="B124" s="665"/>
      <c r="C124" s="657"/>
      <c r="D124" s="530" t="s">
        <v>516</v>
      </c>
      <c r="E124" s="531"/>
      <c r="F124" s="532">
        <f>F112+F115+F118+F121</f>
        <v>60970085</v>
      </c>
      <c r="G124" s="533"/>
      <c r="H124" s="534">
        <f>SUM(E124:G124)</f>
        <v>60970085</v>
      </c>
    </row>
    <row r="125" spans="1:8" ht="17.25">
      <c r="A125" s="655"/>
      <c r="B125" s="666"/>
      <c r="C125" s="657"/>
      <c r="D125" s="535" t="s">
        <v>514</v>
      </c>
      <c r="E125" s="531"/>
      <c r="F125" s="532">
        <f>F123-F124</f>
        <v>2281063</v>
      </c>
      <c r="G125" s="533"/>
      <c r="H125" s="534">
        <f t="shared" si="3"/>
        <v>2281063</v>
      </c>
    </row>
    <row r="126" spans="1:8" ht="17.25">
      <c r="A126" s="655"/>
      <c r="B126" s="662" t="s">
        <v>578</v>
      </c>
      <c r="C126" s="662" t="s">
        <v>579</v>
      </c>
      <c r="D126" s="530" t="s">
        <v>512</v>
      </c>
      <c r="E126" s="531"/>
      <c r="F126" s="532">
        <v>2300000</v>
      </c>
      <c r="G126" s="533"/>
      <c r="H126" s="534">
        <f t="shared" si="3"/>
        <v>2300000</v>
      </c>
    </row>
    <row r="127" spans="1:8" ht="17.25">
      <c r="A127" s="655"/>
      <c r="B127" s="662"/>
      <c r="C127" s="662"/>
      <c r="D127" s="530" t="s">
        <v>516</v>
      </c>
      <c r="E127" s="531"/>
      <c r="F127" s="532">
        <v>2288520</v>
      </c>
      <c r="G127" s="533"/>
      <c r="H127" s="534">
        <f t="shared" si="3"/>
        <v>2288520</v>
      </c>
    </row>
    <row r="128" spans="1:8" ht="17.25">
      <c r="A128" s="655"/>
      <c r="B128" s="662"/>
      <c r="C128" s="662"/>
      <c r="D128" s="535" t="s">
        <v>514</v>
      </c>
      <c r="E128" s="531"/>
      <c r="F128" s="532">
        <f>F126-F127</f>
        <v>11480</v>
      </c>
      <c r="G128" s="533"/>
      <c r="H128" s="534">
        <f t="shared" si="3"/>
        <v>11480</v>
      </c>
    </row>
    <row r="129" spans="1:8" ht="17.25">
      <c r="A129" s="655"/>
      <c r="B129" s="662"/>
      <c r="C129" s="662" t="s">
        <v>580</v>
      </c>
      <c r="D129" s="530" t="s">
        <v>512</v>
      </c>
      <c r="E129" s="531"/>
      <c r="F129" s="532">
        <v>1900000</v>
      </c>
      <c r="G129" s="533"/>
      <c r="H129" s="534">
        <f t="shared" si="3"/>
        <v>1900000</v>
      </c>
    </row>
    <row r="130" spans="1:8" ht="17.25">
      <c r="A130" s="655"/>
      <c r="B130" s="662"/>
      <c r="C130" s="662"/>
      <c r="D130" s="530" t="s">
        <v>516</v>
      </c>
      <c r="E130" s="531"/>
      <c r="F130" s="532">
        <v>1451180</v>
      </c>
      <c r="G130" s="533"/>
      <c r="H130" s="534">
        <f t="shared" si="3"/>
        <v>1451180</v>
      </c>
    </row>
    <row r="131" spans="1:8" ht="17.25">
      <c r="A131" s="655"/>
      <c r="B131" s="662"/>
      <c r="C131" s="662"/>
      <c r="D131" s="535" t="s">
        <v>514</v>
      </c>
      <c r="E131" s="531"/>
      <c r="F131" s="532">
        <f>F129-F130</f>
        <v>448820</v>
      </c>
      <c r="G131" s="533"/>
      <c r="H131" s="534">
        <f t="shared" si="3"/>
        <v>448820</v>
      </c>
    </row>
    <row r="132" spans="1:8" ht="17.25">
      <c r="A132" s="655"/>
      <c r="B132" s="662"/>
      <c r="C132" s="662" t="s">
        <v>581</v>
      </c>
      <c r="D132" s="530" t="s">
        <v>512</v>
      </c>
      <c r="E132" s="531"/>
      <c r="F132" s="532">
        <v>200000</v>
      </c>
      <c r="G132" s="533"/>
      <c r="H132" s="534">
        <f t="shared" si="3"/>
        <v>200000</v>
      </c>
    </row>
    <row r="133" spans="1:8" ht="17.25">
      <c r="A133" s="655"/>
      <c r="B133" s="662"/>
      <c r="C133" s="662"/>
      <c r="D133" s="530" t="s">
        <v>516</v>
      </c>
      <c r="E133" s="531"/>
      <c r="F133" s="532">
        <v>48000</v>
      </c>
      <c r="G133" s="533"/>
      <c r="H133" s="534">
        <f t="shared" si="3"/>
        <v>48000</v>
      </c>
    </row>
    <row r="134" spans="1:8" ht="17.25">
      <c r="A134" s="655"/>
      <c r="B134" s="662"/>
      <c r="C134" s="662"/>
      <c r="D134" s="535" t="s">
        <v>514</v>
      </c>
      <c r="E134" s="531"/>
      <c r="F134" s="532">
        <f>F132-F133</f>
        <v>152000</v>
      </c>
      <c r="G134" s="533"/>
      <c r="H134" s="534">
        <f t="shared" si="3"/>
        <v>152000</v>
      </c>
    </row>
    <row r="135" spans="1:8" ht="17.25">
      <c r="A135" s="655"/>
      <c r="B135" s="663"/>
      <c r="C135" s="657" t="s">
        <v>515</v>
      </c>
      <c r="D135" s="530" t="s">
        <v>512</v>
      </c>
      <c r="E135" s="531"/>
      <c r="F135" s="532">
        <f>F126+F129+F132</f>
        <v>4400000</v>
      </c>
      <c r="G135" s="533"/>
      <c r="H135" s="534">
        <f t="shared" si="3"/>
        <v>4400000</v>
      </c>
    </row>
    <row r="136" spans="1:8" ht="17.25">
      <c r="A136" s="655"/>
      <c r="B136" s="663"/>
      <c r="C136" s="657"/>
      <c r="D136" s="530" t="s">
        <v>516</v>
      </c>
      <c r="E136" s="531"/>
      <c r="F136" s="532">
        <f>F127+F130+F133</f>
        <v>3787700</v>
      </c>
      <c r="G136" s="533"/>
      <c r="H136" s="534">
        <f t="shared" si="3"/>
        <v>3787700</v>
      </c>
    </row>
    <row r="137" spans="1:8" ht="17.25">
      <c r="A137" s="655"/>
      <c r="B137" s="663"/>
      <c r="C137" s="657"/>
      <c r="D137" s="535" t="s">
        <v>514</v>
      </c>
      <c r="E137" s="531"/>
      <c r="F137" s="532">
        <f>F135-F136</f>
        <v>612300</v>
      </c>
      <c r="G137" s="533"/>
      <c r="H137" s="534">
        <f t="shared" si="3"/>
        <v>612300</v>
      </c>
    </row>
    <row r="138" spans="1:8" ht="17.25">
      <c r="A138" s="655"/>
      <c r="B138" s="662" t="s">
        <v>582</v>
      </c>
      <c r="C138" s="662" t="s">
        <v>583</v>
      </c>
      <c r="D138" s="530" t="s">
        <v>512</v>
      </c>
      <c r="E138" s="531"/>
      <c r="F138" s="532">
        <v>466013</v>
      </c>
      <c r="G138" s="533"/>
      <c r="H138" s="534">
        <f t="shared" si="3"/>
        <v>466013</v>
      </c>
    </row>
    <row r="139" spans="1:8" ht="17.25">
      <c r="A139" s="655"/>
      <c r="B139" s="662"/>
      <c r="C139" s="662"/>
      <c r="D139" s="530" t="s">
        <v>516</v>
      </c>
      <c r="E139" s="531"/>
      <c r="F139" s="532">
        <v>442000</v>
      </c>
      <c r="G139" s="533"/>
      <c r="H139" s="534">
        <f t="shared" si="3"/>
        <v>442000</v>
      </c>
    </row>
    <row r="140" spans="1:8" ht="17.25">
      <c r="A140" s="655"/>
      <c r="B140" s="662"/>
      <c r="C140" s="662"/>
      <c r="D140" s="535" t="s">
        <v>514</v>
      </c>
      <c r="E140" s="531"/>
      <c r="F140" s="532">
        <f>F138-F139</f>
        <v>24013</v>
      </c>
      <c r="G140" s="533"/>
      <c r="H140" s="534">
        <f t="shared" si="3"/>
        <v>24013</v>
      </c>
    </row>
    <row r="141" spans="1:8" ht="17.25">
      <c r="A141" s="655"/>
      <c r="B141" s="662"/>
      <c r="C141" s="662" t="s">
        <v>584</v>
      </c>
      <c r="D141" s="530" t="s">
        <v>512</v>
      </c>
      <c r="E141" s="531"/>
      <c r="F141" s="532">
        <v>5500000</v>
      </c>
      <c r="G141" s="533"/>
      <c r="H141" s="534">
        <f t="shared" si="3"/>
        <v>5500000</v>
      </c>
    </row>
    <row r="142" spans="1:8" ht="17.25">
      <c r="A142" s="655"/>
      <c r="B142" s="662"/>
      <c r="C142" s="662"/>
      <c r="D142" s="530" t="s">
        <v>516</v>
      </c>
      <c r="E142" s="531"/>
      <c r="F142" s="532">
        <v>5229580</v>
      </c>
      <c r="G142" s="533"/>
      <c r="H142" s="534">
        <f t="shared" si="3"/>
        <v>5229580</v>
      </c>
    </row>
    <row r="143" spans="1:8" ht="17.25">
      <c r="A143" s="655"/>
      <c r="B143" s="662"/>
      <c r="C143" s="662"/>
      <c r="D143" s="535" t="s">
        <v>514</v>
      </c>
      <c r="E143" s="531"/>
      <c r="F143" s="532">
        <f>F141-F142</f>
        <v>270420</v>
      </c>
      <c r="G143" s="533"/>
      <c r="H143" s="534">
        <f t="shared" si="3"/>
        <v>270420</v>
      </c>
    </row>
    <row r="144" spans="1:8" ht="17.25">
      <c r="A144" s="655"/>
      <c r="B144" s="662"/>
      <c r="C144" s="662" t="s">
        <v>585</v>
      </c>
      <c r="D144" s="530" t="s">
        <v>512</v>
      </c>
      <c r="E144" s="531"/>
      <c r="F144" s="532">
        <v>360000</v>
      </c>
      <c r="G144" s="533"/>
      <c r="H144" s="534">
        <f t="shared" si="3"/>
        <v>360000</v>
      </c>
    </row>
    <row r="145" spans="1:8" ht="17.25">
      <c r="A145" s="655"/>
      <c r="B145" s="662"/>
      <c r="C145" s="662"/>
      <c r="D145" s="530" t="s">
        <v>516</v>
      </c>
      <c r="E145" s="531"/>
      <c r="F145" s="532">
        <v>102954</v>
      </c>
      <c r="G145" s="533"/>
      <c r="H145" s="534">
        <f t="shared" si="3"/>
        <v>102954</v>
      </c>
    </row>
    <row r="146" spans="1:8" ht="17.25">
      <c r="A146" s="655"/>
      <c r="B146" s="662"/>
      <c r="C146" s="662"/>
      <c r="D146" s="535" t="s">
        <v>514</v>
      </c>
      <c r="E146" s="531"/>
      <c r="F146" s="532">
        <f>F144-F145</f>
        <v>257046</v>
      </c>
      <c r="G146" s="533"/>
      <c r="H146" s="534">
        <f t="shared" si="3"/>
        <v>257046</v>
      </c>
    </row>
    <row r="147" spans="1:8" ht="17.25">
      <c r="A147" s="655"/>
      <c r="B147" s="662"/>
      <c r="C147" s="662" t="s">
        <v>586</v>
      </c>
      <c r="D147" s="530" t="s">
        <v>587</v>
      </c>
      <c r="E147" s="531"/>
      <c r="F147" s="532">
        <v>365000</v>
      </c>
      <c r="G147" s="533"/>
      <c r="H147" s="534">
        <f t="shared" si="3"/>
        <v>365000</v>
      </c>
    </row>
    <row r="148" spans="1:8" ht="17.25">
      <c r="A148" s="655"/>
      <c r="B148" s="662"/>
      <c r="C148" s="662"/>
      <c r="D148" s="530" t="s">
        <v>588</v>
      </c>
      <c r="E148" s="531"/>
      <c r="F148" s="532">
        <v>360250</v>
      </c>
      <c r="G148" s="533"/>
      <c r="H148" s="534">
        <f t="shared" si="3"/>
        <v>360250</v>
      </c>
    </row>
    <row r="149" spans="1:8" ht="17.25">
      <c r="A149" s="655"/>
      <c r="B149" s="662"/>
      <c r="C149" s="662"/>
      <c r="D149" s="535" t="s">
        <v>589</v>
      </c>
      <c r="E149" s="531"/>
      <c r="F149" s="532">
        <f>F147-F148</f>
        <v>4750</v>
      </c>
      <c r="G149" s="533"/>
      <c r="H149" s="534">
        <f t="shared" si="3"/>
        <v>4750</v>
      </c>
    </row>
    <row r="150" spans="1:8" ht="17.25">
      <c r="A150" s="655"/>
      <c r="B150" s="663"/>
      <c r="C150" s="657" t="s">
        <v>515</v>
      </c>
      <c r="D150" s="530" t="s">
        <v>512</v>
      </c>
      <c r="E150" s="531"/>
      <c r="F150" s="532">
        <f>F138+F141+F144+F147</f>
        <v>6691013</v>
      </c>
      <c r="G150" s="533"/>
      <c r="H150" s="534">
        <f t="shared" si="3"/>
        <v>6691013</v>
      </c>
    </row>
    <row r="151" spans="1:8" ht="17.25">
      <c r="A151" s="655"/>
      <c r="B151" s="663"/>
      <c r="C151" s="657"/>
      <c r="D151" s="530" t="s">
        <v>516</v>
      </c>
      <c r="E151" s="531"/>
      <c r="F151" s="532">
        <f>F139+F142+F145+F148</f>
        <v>6134784</v>
      </c>
      <c r="G151" s="533"/>
      <c r="H151" s="534">
        <f t="shared" si="3"/>
        <v>6134784</v>
      </c>
    </row>
    <row r="152" spans="1:8" ht="17.25">
      <c r="A152" s="655"/>
      <c r="B152" s="663"/>
      <c r="C152" s="657"/>
      <c r="D152" s="535" t="s">
        <v>514</v>
      </c>
      <c r="E152" s="531"/>
      <c r="F152" s="532">
        <f>F150-F151</f>
        <v>556229</v>
      </c>
      <c r="G152" s="533"/>
      <c r="H152" s="534">
        <f t="shared" si="3"/>
        <v>556229</v>
      </c>
    </row>
    <row r="153" spans="1:8" ht="17.25">
      <c r="A153" s="655"/>
      <c r="B153" s="657" t="s">
        <v>590</v>
      </c>
      <c r="C153" s="657"/>
      <c r="D153" s="536" t="s">
        <v>591</v>
      </c>
      <c r="E153" s="537"/>
      <c r="F153" s="538">
        <f>F123+F135+F150</f>
        <v>74342161</v>
      </c>
      <c r="G153" s="539"/>
      <c r="H153" s="540">
        <f t="shared" si="3"/>
        <v>74342161</v>
      </c>
    </row>
    <row r="154" spans="1:8" ht="17.25">
      <c r="A154" s="655"/>
      <c r="B154" s="657"/>
      <c r="C154" s="657"/>
      <c r="D154" s="536" t="s">
        <v>592</v>
      </c>
      <c r="E154" s="537"/>
      <c r="F154" s="538">
        <f>F124+F136+F151</f>
        <v>70892569</v>
      </c>
      <c r="G154" s="539"/>
      <c r="H154" s="540">
        <f t="shared" si="3"/>
        <v>70892569</v>
      </c>
    </row>
    <row r="155" spans="1:8" ht="17.25">
      <c r="A155" s="656"/>
      <c r="B155" s="657"/>
      <c r="C155" s="657"/>
      <c r="D155" s="541" t="s">
        <v>593</v>
      </c>
      <c r="E155" s="537"/>
      <c r="F155" s="538">
        <f>F153-F154</f>
        <v>3449592</v>
      </c>
      <c r="G155" s="539"/>
      <c r="H155" s="540">
        <f t="shared" si="3"/>
        <v>3449592</v>
      </c>
    </row>
    <row r="156" spans="1:8" ht="17.25" customHeight="1">
      <c r="A156" s="654" t="s">
        <v>594</v>
      </c>
      <c r="B156" s="662" t="s">
        <v>594</v>
      </c>
      <c r="C156" s="662" t="s">
        <v>594</v>
      </c>
      <c r="D156" s="530" t="s">
        <v>512</v>
      </c>
      <c r="E156" s="531"/>
      <c r="F156" s="532">
        <v>1000000</v>
      </c>
      <c r="G156" s="533"/>
      <c r="H156" s="534">
        <f t="shared" si="3"/>
        <v>1000000</v>
      </c>
    </row>
    <row r="157" spans="1:8" ht="17.25">
      <c r="A157" s="655"/>
      <c r="B157" s="662"/>
      <c r="C157" s="662"/>
      <c r="D157" s="530" t="s">
        <v>516</v>
      </c>
      <c r="E157" s="531"/>
      <c r="F157" s="532">
        <v>0</v>
      </c>
      <c r="G157" s="533"/>
      <c r="H157" s="534">
        <f t="shared" si="3"/>
        <v>0</v>
      </c>
    </row>
    <row r="158" spans="1:8" ht="17.25">
      <c r="A158" s="655"/>
      <c r="B158" s="662"/>
      <c r="C158" s="662"/>
      <c r="D158" s="535" t="s">
        <v>514</v>
      </c>
      <c r="E158" s="531"/>
      <c r="F158" s="532">
        <f>F156-F157</f>
        <v>1000000</v>
      </c>
      <c r="G158" s="533"/>
      <c r="H158" s="534">
        <f t="shared" si="3"/>
        <v>1000000</v>
      </c>
    </row>
    <row r="159" spans="1:8" ht="17.25">
      <c r="A159" s="655"/>
      <c r="B159" s="657" t="s">
        <v>590</v>
      </c>
      <c r="C159" s="657"/>
      <c r="D159" s="536" t="s">
        <v>540</v>
      </c>
      <c r="E159" s="537"/>
      <c r="F159" s="538">
        <f>F156</f>
        <v>1000000</v>
      </c>
      <c r="G159" s="539"/>
      <c r="H159" s="540">
        <f t="shared" si="3"/>
        <v>1000000</v>
      </c>
    </row>
    <row r="160" spans="1:8" ht="17.25">
      <c r="A160" s="655"/>
      <c r="B160" s="657"/>
      <c r="C160" s="657"/>
      <c r="D160" s="536" t="s">
        <v>541</v>
      </c>
      <c r="E160" s="537"/>
      <c r="F160" s="538">
        <f>F157</f>
        <v>0</v>
      </c>
      <c r="G160" s="539"/>
      <c r="H160" s="540">
        <f t="shared" si="3"/>
        <v>0</v>
      </c>
    </row>
    <row r="161" spans="1:8" ht="17.25">
      <c r="A161" s="656"/>
      <c r="B161" s="657"/>
      <c r="C161" s="657"/>
      <c r="D161" s="541" t="s">
        <v>542</v>
      </c>
      <c r="E161" s="537"/>
      <c r="F161" s="538">
        <f>F159-F160</f>
        <v>1000000</v>
      </c>
      <c r="G161" s="539"/>
      <c r="H161" s="540">
        <f t="shared" si="3"/>
        <v>1000000</v>
      </c>
    </row>
    <row r="162" spans="1:8" ht="17.25" customHeight="1">
      <c r="A162" s="654" t="s">
        <v>595</v>
      </c>
      <c r="B162" s="662" t="s">
        <v>595</v>
      </c>
      <c r="C162" s="662" t="s">
        <v>596</v>
      </c>
      <c r="D162" s="530" t="s">
        <v>540</v>
      </c>
      <c r="E162" s="531"/>
      <c r="F162" s="532">
        <v>1000000</v>
      </c>
      <c r="G162" s="533"/>
      <c r="H162" s="534">
        <f t="shared" si="3"/>
        <v>1000000</v>
      </c>
    </row>
    <row r="163" spans="1:8" ht="17.25">
      <c r="A163" s="655"/>
      <c r="B163" s="662"/>
      <c r="C163" s="662"/>
      <c r="D163" s="530" t="s">
        <v>513</v>
      </c>
      <c r="E163" s="531"/>
      <c r="F163" s="532">
        <v>0</v>
      </c>
      <c r="G163" s="533"/>
      <c r="H163" s="534">
        <f t="shared" si="3"/>
        <v>0</v>
      </c>
    </row>
    <row r="164" spans="1:8" ht="17.25">
      <c r="A164" s="655"/>
      <c r="B164" s="662"/>
      <c r="C164" s="662"/>
      <c r="D164" s="535" t="s">
        <v>576</v>
      </c>
      <c r="E164" s="531"/>
      <c r="F164" s="532">
        <f>F162-F163</f>
        <v>1000000</v>
      </c>
      <c r="G164" s="533"/>
      <c r="H164" s="534">
        <f t="shared" si="3"/>
        <v>1000000</v>
      </c>
    </row>
    <row r="165" spans="1:8" ht="17.25">
      <c r="A165" s="655"/>
      <c r="B165" s="662"/>
      <c r="C165" s="662" t="s">
        <v>528</v>
      </c>
      <c r="D165" s="530" t="s">
        <v>512</v>
      </c>
      <c r="E165" s="531"/>
      <c r="F165" s="532"/>
      <c r="G165" s="533">
        <v>18000000</v>
      </c>
      <c r="H165" s="534">
        <f t="shared" si="3"/>
        <v>18000000</v>
      </c>
    </row>
    <row r="166" spans="1:8" ht="17.25">
      <c r="A166" s="655"/>
      <c r="B166" s="662"/>
      <c r="C166" s="662"/>
      <c r="D166" s="530" t="s">
        <v>516</v>
      </c>
      <c r="E166" s="531"/>
      <c r="F166" s="532"/>
      <c r="G166" s="533">
        <v>2270000</v>
      </c>
      <c r="H166" s="534">
        <f t="shared" si="3"/>
        <v>2270000</v>
      </c>
    </row>
    <row r="167" spans="1:8" ht="17.25">
      <c r="A167" s="655"/>
      <c r="B167" s="662"/>
      <c r="C167" s="662"/>
      <c r="D167" s="535" t="s">
        <v>514</v>
      </c>
      <c r="E167" s="531"/>
      <c r="F167" s="532">
        <f>F166-F165</f>
        <v>0</v>
      </c>
      <c r="G167" s="533">
        <f>G165-G166</f>
        <v>15730000</v>
      </c>
      <c r="H167" s="534">
        <f t="shared" si="3"/>
        <v>15730000</v>
      </c>
    </row>
    <row r="168" spans="1:8" ht="17.25">
      <c r="A168" s="655"/>
      <c r="B168" s="662"/>
      <c r="C168" s="662" t="s">
        <v>597</v>
      </c>
      <c r="D168" s="530" t="s">
        <v>545</v>
      </c>
      <c r="E168" s="531"/>
      <c r="F168" s="532">
        <f>2000000+3500000</f>
        <v>5500000</v>
      </c>
      <c r="G168" s="533"/>
      <c r="H168" s="534">
        <f t="shared" si="3"/>
        <v>5500000</v>
      </c>
    </row>
    <row r="169" spans="1:8" ht="17.25">
      <c r="A169" s="655"/>
      <c r="B169" s="662"/>
      <c r="C169" s="662"/>
      <c r="D169" s="530" t="s">
        <v>513</v>
      </c>
      <c r="E169" s="531"/>
      <c r="F169" s="532">
        <f>1833610+3460840</f>
        <v>5294450</v>
      </c>
      <c r="G169" s="533"/>
      <c r="H169" s="534">
        <f t="shared" si="3"/>
        <v>5294450</v>
      </c>
    </row>
    <row r="170" spans="1:8" ht="17.25">
      <c r="A170" s="655"/>
      <c r="B170" s="662"/>
      <c r="C170" s="662"/>
      <c r="D170" s="535" t="s">
        <v>514</v>
      </c>
      <c r="E170" s="531"/>
      <c r="F170" s="532">
        <f>F168-F169</f>
        <v>205550</v>
      </c>
      <c r="G170" s="533"/>
      <c r="H170" s="534">
        <f t="shared" si="3"/>
        <v>205550</v>
      </c>
    </row>
    <row r="171" spans="1:8" ht="17.25">
      <c r="A171" s="655"/>
      <c r="B171" s="662"/>
      <c r="C171" s="662" t="s">
        <v>598</v>
      </c>
      <c r="D171" s="530" t="s">
        <v>512</v>
      </c>
      <c r="E171" s="531"/>
      <c r="F171" s="532">
        <f>9600000+9000000</f>
        <v>18600000</v>
      </c>
      <c r="G171" s="533"/>
      <c r="H171" s="534">
        <f t="shared" si="3"/>
        <v>18600000</v>
      </c>
    </row>
    <row r="172" spans="1:8" ht="17.25">
      <c r="A172" s="655"/>
      <c r="B172" s="662"/>
      <c r="C172" s="662"/>
      <c r="D172" s="530" t="s">
        <v>516</v>
      </c>
      <c r="E172" s="531"/>
      <c r="F172" s="532">
        <f>9355900+8128690</f>
        <v>17484590</v>
      </c>
      <c r="G172" s="533"/>
      <c r="H172" s="534">
        <f t="shared" si="3"/>
        <v>17484590</v>
      </c>
    </row>
    <row r="173" spans="1:8" ht="17.25">
      <c r="A173" s="655"/>
      <c r="B173" s="662"/>
      <c r="C173" s="662"/>
      <c r="D173" s="535" t="s">
        <v>517</v>
      </c>
      <c r="E173" s="531"/>
      <c r="F173" s="532">
        <f>F171-F172</f>
        <v>1115410</v>
      </c>
      <c r="G173" s="533"/>
      <c r="H173" s="534">
        <f t="shared" si="3"/>
        <v>1115410</v>
      </c>
    </row>
    <row r="174" spans="1:8" ht="17.25">
      <c r="A174" s="655"/>
      <c r="B174" s="662"/>
      <c r="C174" s="662" t="s">
        <v>519</v>
      </c>
      <c r="D174" s="530" t="s">
        <v>512</v>
      </c>
      <c r="E174" s="531"/>
      <c r="F174" s="532">
        <v>46100000</v>
      </c>
      <c r="G174" s="533"/>
      <c r="H174" s="534">
        <f t="shared" si="3"/>
        <v>46100000</v>
      </c>
    </row>
    <row r="175" spans="1:8" ht="17.25">
      <c r="A175" s="655"/>
      <c r="B175" s="662"/>
      <c r="C175" s="662"/>
      <c r="D175" s="530" t="s">
        <v>516</v>
      </c>
      <c r="E175" s="531"/>
      <c r="F175" s="532">
        <v>45247400</v>
      </c>
      <c r="G175" s="533"/>
      <c r="H175" s="534">
        <f t="shared" si="3"/>
        <v>45247400</v>
      </c>
    </row>
    <row r="176" spans="1:8" ht="17.25">
      <c r="A176" s="655"/>
      <c r="B176" s="662"/>
      <c r="C176" s="662"/>
      <c r="D176" s="535" t="s">
        <v>514</v>
      </c>
      <c r="E176" s="531"/>
      <c r="F176" s="532">
        <f>F174-F175</f>
        <v>852600</v>
      </c>
      <c r="G176" s="533"/>
      <c r="H176" s="534">
        <f t="shared" si="3"/>
        <v>852600</v>
      </c>
    </row>
    <row r="177" spans="1:8" ht="17.25">
      <c r="A177" s="655"/>
      <c r="B177" s="657" t="s">
        <v>590</v>
      </c>
      <c r="C177" s="657"/>
      <c r="D177" s="536" t="s">
        <v>521</v>
      </c>
      <c r="E177" s="537"/>
      <c r="F177" s="538">
        <f>F162+F165+F168+F171+F174</f>
        <v>71200000</v>
      </c>
      <c r="G177" s="539">
        <f>G162+G165+G168+G171+G174</f>
        <v>18000000</v>
      </c>
      <c r="H177" s="540">
        <f t="shared" si="3"/>
        <v>89200000</v>
      </c>
    </row>
    <row r="178" spans="1:8" ht="17.25">
      <c r="A178" s="655"/>
      <c r="B178" s="657"/>
      <c r="C178" s="657"/>
      <c r="D178" s="536" t="s">
        <v>599</v>
      </c>
      <c r="E178" s="537"/>
      <c r="F178" s="538">
        <f>F163+F166+F169+F172+F175</f>
        <v>68026440</v>
      </c>
      <c r="G178" s="539">
        <f>G163+G166+G169+G172+G175</f>
        <v>2270000</v>
      </c>
      <c r="H178" s="540">
        <f t="shared" si="3"/>
        <v>70296440</v>
      </c>
    </row>
    <row r="179" spans="1:8" ht="17.25">
      <c r="A179" s="656"/>
      <c r="B179" s="657"/>
      <c r="C179" s="657"/>
      <c r="D179" s="541" t="s">
        <v>600</v>
      </c>
      <c r="E179" s="537"/>
      <c r="F179" s="538">
        <f>F164+F167+F170+F173+F176</f>
        <v>3173560</v>
      </c>
      <c r="G179" s="539">
        <f>G177-G178</f>
        <v>15730000</v>
      </c>
      <c r="H179" s="540">
        <f t="shared" si="3"/>
        <v>18903560</v>
      </c>
    </row>
    <row r="180" spans="1:8" ht="17.25" customHeight="1">
      <c r="A180" s="654" t="s">
        <v>601</v>
      </c>
      <c r="B180" s="662" t="s">
        <v>601</v>
      </c>
      <c r="C180" s="662" t="s">
        <v>601</v>
      </c>
      <c r="D180" s="530" t="s">
        <v>512</v>
      </c>
      <c r="E180" s="531"/>
      <c r="F180" s="532"/>
      <c r="G180" s="533"/>
      <c r="H180" s="534">
        <f t="shared" si="3"/>
        <v>0</v>
      </c>
    </row>
    <row r="181" spans="1:8" ht="17.25">
      <c r="A181" s="655"/>
      <c r="B181" s="662"/>
      <c r="C181" s="662"/>
      <c r="D181" s="530" t="s">
        <v>516</v>
      </c>
      <c r="E181" s="531"/>
      <c r="F181" s="532"/>
      <c r="G181" s="533">
        <v>500000</v>
      </c>
      <c r="H181" s="534">
        <f t="shared" si="3"/>
        <v>500000</v>
      </c>
    </row>
    <row r="182" spans="1:8" ht="17.25">
      <c r="A182" s="655"/>
      <c r="B182" s="662"/>
      <c r="C182" s="662"/>
      <c r="D182" s="535" t="s">
        <v>514</v>
      </c>
      <c r="E182" s="531"/>
      <c r="F182" s="532">
        <f>F181-F180</f>
        <v>0</v>
      </c>
      <c r="G182" s="533">
        <f>G181-G180</f>
        <v>500000</v>
      </c>
      <c r="H182" s="534">
        <f t="shared" si="3"/>
        <v>500000</v>
      </c>
    </row>
    <row r="183" spans="1:8" ht="17.25">
      <c r="A183" s="655"/>
      <c r="B183" s="657" t="s">
        <v>590</v>
      </c>
      <c r="C183" s="657"/>
      <c r="D183" s="536" t="s">
        <v>512</v>
      </c>
      <c r="E183" s="537"/>
      <c r="F183" s="538">
        <f>F180</f>
        <v>0</v>
      </c>
      <c r="G183" s="539"/>
      <c r="H183" s="540">
        <f t="shared" si="3"/>
        <v>0</v>
      </c>
    </row>
    <row r="184" spans="1:8" ht="17.25">
      <c r="A184" s="655"/>
      <c r="B184" s="657"/>
      <c r="C184" s="657"/>
      <c r="D184" s="536" t="s">
        <v>513</v>
      </c>
      <c r="E184" s="537"/>
      <c r="F184" s="538">
        <f>F181</f>
        <v>0</v>
      </c>
      <c r="G184" s="539">
        <f>G181</f>
        <v>500000</v>
      </c>
      <c r="H184" s="540">
        <f t="shared" si="3"/>
        <v>500000</v>
      </c>
    </row>
    <row r="185" spans="1:8" ht="17.25">
      <c r="A185" s="656"/>
      <c r="B185" s="657"/>
      <c r="C185" s="657"/>
      <c r="D185" s="541" t="s">
        <v>514</v>
      </c>
      <c r="E185" s="537"/>
      <c r="F185" s="538">
        <f>F182</f>
        <v>0</v>
      </c>
      <c r="G185" s="539">
        <f>G182</f>
        <v>500000</v>
      </c>
      <c r="H185" s="540">
        <f t="shared" si="3"/>
        <v>500000</v>
      </c>
    </row>
    <row r="186" spans="1:8" ht="17.25" customHeight="1">
      <c r="A186" s="654" t="s">
        <v>602</v>
      </c>
      <c r="B186" s="661" t="s">
        <v>602</v>
      </c>
      <c r="C186" s="661" t="s">
        <v>603</v>
      </c>
      <c r="D186" s="542" t="s">
        <v>512</v>
      </c>
      <c r="E186" s="543"/>
      <c r="F186" s="532">
        <v>4000000</v>
      </c>
      <c r="G186" s="533"/>
      <c r="H186" s="534">
        <f t="shared" ref="H186:H233" si="4">SUM(E186:G186)</f>
        <v>4000000</v>
      </c>
    </row>
    <row r="187" spans="1:8" ht="17.25">
      <c r="A187" s="655"/>
      <c r="B187" s="661"/>
      <c r="C187" s="661"/>
      <c r="D187" s="542" t="s">
        <v>513</v>
      </c>
      <c r="E187" s="543"/>
      <c r="F187" s="532">
        <v>3095169</v>
      </c>
      <c r="G187" s="533"/>
      <c r="H187" s="534">
        <f t="shared" si="4"/>
        <v>3095169</v>
      </c>
    </row>
    <row r="188" spans="1:8" ht="17.25">
      <c r="A188" s="655"/>
      <c r="B188" s="661"/>
      <c r="C188" s="661"/>
      <c r="D188" s="544" t="s">
        <v>576</v>
      </c>
      <c r="E188" s="543"/>
      <c r="F188" s="532">
        <f>F186-F187</f>
        <v>904831</v>
      </c>
      <c r="G188" s="533"/>
      <c r="H188" s="534">
        <f t="shared" si="4"/>
        <v>904831</v>
      </c>
    </row>
    <row r="189" spans="1:8" ht="17.25">
      <c r="A189" s="655"/>
      <c r="B189" s="661"/>
      <c r="C189" s="661" t="s">
        <v>604</v>
      </c>
      <c r="D189" s="542" t="s">
        <v>512</v>
      </c>
      <c r="E189" s="543"/>
      <c r="F189" s="532">
        <v>6000000</v>
      </c>
      <c r="G189" s="533"/>
      <c r="H189" s="534">
        <f t="shared" si="4"/>
        <v>6000000</v>
      </c>
    </row>
    <row r="190" spans="1:8" ht="17.25">
      <c r="A190" s="655"/>
      <c r="B190" s="661"/>
      <c r="C190" s="661"/>
      <c r="D190" s="542" t="s">
        <v>516</v>
      </c>
      <c r="E190" s="543"/>
      <c r="F190" s="532">
        <v>6150000</v>
      </c>
      <c r="G190" s="533"/>
      <c r="H190" s="534">
        <f t="shared" si="4"/>
        <v>6150000</v>
      </c>
    </row>
    <row r="191" spans="1:8" ht="17.25">
      <c r="A191" s="655"/>
      <c r="B191" s="661"/>
      <c r="C191" s="661"/>
      <c r="D191" s="544" t="s">
        <v>514</v>
      </c>
      <c r="E191" s="543"/>
      <c r="F191" s="532">
        <f>F189-F190</f>
        <v>-150000</v>
      </c>
      <c r="G191" s="533"/>
      <c r="H191" s="534">
        <f t="shared" si="4"/>
        <v>-150000</v>
      </c>
    </row>
    <row r="192" spans="1:8" ht="17.25">
      <c r="A192" s="655"/>
      <c r="B192" s="657" t="s">
        <v>590</v>
      </c>
      <c r="C192" s="657"/>
      <c r="D192" s="536" t="s">
        <v>512</v>
      </c>
      <c r="E192" s="537"/>
      <c r="F192" s="538">
        <f>F186+F189</f>
        <v>10000000</v>
      </c>
      <c r="G192" s="539"/>
      <c r="H192" s="540">
        <f t="shared" si="4"/>
        <v>10000000</v>
      </c>
    </row>
    <row r="193" spans="1:8" ht="17.25">
      <c r="A193" s="655"/>
      <c r="B193" s="657"/>
      <c r="C193" s="657"/>
      <c r="D193" s="536" t="s">
        <v>516</v>
      </c>
      <c r="E193" s="537"/>
      <c r="F193" s="538">
        <f>F187+F190</f>
        <v>9245169</v>
      </c>
      <c r="G193" s="539"/>
      <c r="H193" s="540">
        <f t="shared" si="4"/>
        <v>9245169</v>
      </c>
    </row>
    <row r="194" spans="1:8" ht="17.25">
      <c r="A194" s="656"/>
      <c r="B194" s="657"/>
      <c r="C194" s="657"/>
      <c r="D194" s="541" t="s">
        <v>514</v>
      </c>
      <c r="E194" s="537"/>
      <c r="F194" s="538">
        <f>F192-F193</f>
        <v>754831</v>
      </c>
      <c r="G194" s="539"/>
      <c r="H194" s="540">
        <f t="shared" si="4"/>
        <v>754831</v>
      </c>
    </row>
    <row r="195" spans="1:8" ht="17.25" customHeight="1">
      <c r="A195" s="654" t="s">
        <v>605</v>
      </c>
      <c r="B195" s="662" t="s">
        <v>605</v>
      </c>
      <c r="C195" s="662" t="s">
        <v>605</v>
      </c>
      <c r="D195" s="530" t="s">
        <v>512</v>
      </c>
      <c r="E195" s="531"/>
      <c r="F195" s="532">
        <v>4000000</v>
      </c>
      <c r="G195" s="533"/>
      <c r="H195" s="534">
        <f t="shared" si="4"/>
        <v>4000000</v>
      </c>
    </row>
    <row r="196" spans="1:8" ht="17.25">
      <c r="A196" s="655"/>
      <c r="B196" s="662"/>
      <c r="C196" s="662"/>
      <c r="D196" s="530" t="s">
        <v>516</v>
      </c>
      <c r="E196" s="531"/>
      <c r="F196" s="532">
        <v>2231960</v>
      </c>
      <c r="G196" s="533"/>
      <c r="H196" s="534">
        <f t="shared" si="4"/>
        <v>2231960</v>
      </c>
    </row>
    <row r="197" spans="1:8" ht="17.25">
      <c r="A197" s="655"/>
      <c r="B197" s="662"/>
      <c r="C197" s="662"/>
      <c r="D197" s="535" t="s">
        <v>514</v>
      </c>
      <c r="E197" s="531"/>
      <c r="F197" s="532">
        <f>F195-F196</f>
        <v>1768040</v>
      </c>
      <c r="G197" s="533"/>
      <c r="H197" s="534">
        <f t="shared" si="4"/>
        <v>1768040</v>
      </c>
    </row>
    <row r="198" spans="1:8" ht="17.25">
      <c r="A198" s="655"/>
      <c r="B198" s="657" t="s">
        <v>590</v>
      </c>
      <c r="C198" s="657"/>
      <c r="D198" s="536" t="s">
        <v>512</v>
      </c>
      <c r="E198" s="537"/>
      <c r="F198" s="538">
        <f>F195</f>
        <v>4000000</v>
      </c>
      <c r="G198" s="539"/>
      <c r="H198" s="540">
        <f t="shared" si="4"/>
        <v>4000000</v>
      </c>
    </row>
    <row r="199" spans="1:8" ht="17.25">
      <c r="A199" s="655"/>
      <c r="B199" s="657"/>
      <c r="C199" s="657"/>
      <c r="D199" s="536" t="s">
        <v>516</v>
      </c>
      <c r="E199" s="537"/>
      <c r="F199" s="538">
        <f>F196</f>
        <v>2231960</v>
      </c>
      <c r="G199" s="539"/>
      <c r="H199" s="540">
        <f t="shared" si="4"/>
        <v>2231960</v>
      </c>
    </row>
    <row r="200" spans="1:8" ht="17.25">
      <c r="A200" s="656"/>
      <c r="B200" s="657"/>
      <c r="C200" s="657"/>
      <c r="D200" s="541" t="s">
        <v>514</v>
      </c>
      <c r="E200" s="537"/>
      <c r="F200" s="538">
        <f>F197</f>
        <v>1768040</v>
      </c>
      <c r="G200" s="539"/>
      <c r="H200" s="540">
        <f t="shared" si="4"/>
        <v>1768040</v>
      </c>
    </row>
    <row r="201" spans="1:8" ht="17.25" customHeight="1">
      <c r="A201" s="658" t="s">
        <v>606</v>
      </c>
      <c r="B201" s="661" t="s">
        <v>606</v>
      </c>
      <c r="C201" s="661" t="s">
        <v>606</v>
      </c>
      <c r="D201" s="542" t="s">
        <v>512</v>
      </c>
      <c r="E201" s="543"/>
      <c r="F201" s="532">
        <v>1543852</v>
      </c>
      <c r="G201" s="533"/>
      <c r="H201" s="534">
        <f t="shared" si="4"/>
        <v>1543852</v>
      </c>
    </row>
    <row r="202" spans="1:8" ht="17.25">
      <c r="A202" s="659"/>
      <c r="B202" s="661"/>
      <c r="C202" s="661"/>
      <c r="D202" s="542" t="s">
        <v>516</v>
      </c>
      <c r="E202" s="543"/>
      <c r="F202" s="532">
        <v>0</v>
      </c>
      <c r="G202" s="533"/>
      <c r="H202" s="534">
        <f t="shared" si="4"/>
        <v>0</v>
      </c>
    </row>
    <row r="203" spans="1:8" ht="17.25">
      <c r="A203" s="659"/>
      <c r="B203" s="661"/>
      <c r="C203" s="661"/>
      <c r="D203" s="544" t="s">
        <v>514</v>
      </c>
      <c r="E203" s="543"/>
      <c r="F203" s="532">
        <f>F201-F202</f>
        <v>1543852</v>
      </c>
      <c r="G203" s="533"/>
      <c r="H203" s="534">
        <f t="shared" si="4"/>
        <v>1543852</v>
      </c>
    </row>
    <row r="204" spans="1:8" ht="17.25">
      <c r="A204" s="659"/>
      <c r="B204" s="657" t="s">
        <v>590</v>
      </c>
      <c r="C204" s="657"/>
      <c r="D204" s="536" t="s">
        <v>512</v>
      </c>
      <c r="E204" s="537"/>
      <c r="F204" s="538">
        <f>F201</f>
        <v>1543852</v>
      </c>
      <c r="G204" s="539"/>
      <c r="H204" s="540">
        <f t="shared" si="4"/>
        <v>1543852</v>
      </c>
    </row>
    <row r="205" spans="1:8" ht="17.25">
      <c r="A205" s="659"/>
      <c r="B205" s="657"/>
      <c r="C205" s="657"/>
      <c r="D205" s="536" t="s">
        <v>516</v>
      </c>
      <c r="E205" s="537"/>
      <c r="F205" s="538">
        <f>F202</f>
        <v>0</v>
      </c>
      <c r="G205" s="539"/>
      <c r="H205" s="540">
        <f t="shared" si="4"/>
        <v>0</v>
      </c>
    </row>
    <row r="206" spans="1:8" ht="17.25">
      <c r="A206" s="660"/>
      <c r="B206" s="657"/>
      <c r="C206" s="657"/>
      <c r="D206" s="541" t="s">
        <v>600</v>
      </c>
      <c r="E206" s="537"/>
      <c r="F206" s="538">
        <f>F203</f>
        <v>1543852</v>
      </c>
      <c r="G206" s="539"/>
      <c r="H206" s="540">
        <f t="shared" si="4"/>
        <v>1543852</v>
      </c>
    </row>
    <row r="207" spans="1:8" ht="17.25" customHeight="1">
      <c r="A207" s="658" t="s">
        <v>607</v>
      </c>
      <c r="B207" s="661" t="s">
        <v>607</v>
      </c>
      <c r="C207" s="661" t="s">
        <v>607</v>
      </c>
      <c r="D207" s="542" t="s">
        <v>512</v>
      </c>
      <c r="E207" s="543"/>
      <c r="F207" s="532">
        <v>3200000</v>
      </c>
      <c r="G207" s="533"/>
      <c r="H207" s="534">
        <f t="shared" si="4"/>
        <v>3200000</v>
      </c>
    </row>
    <row r="208" spans="1:8" ht="17.25">
      <c r="A208" s="659"/>
      <c r="B208" s="661"/>
      <c r="C208" s="661"/>
      <c r="D208" s="542" t="s">
        <v>516</v>
      </c>
      <c r="E208" s="543"/>
      <c r="F208" s="532">
        <v>3063681</v>
      </c>
      <c r="G208" s="533"/>
      <c r="H208" s="534">
        <f t="shared" si="4"/>
        <v>3063681</v>
      </c>
    </row>
    <row r="209" spans="1:8" ht="17.25">
      <c r="A209" s="659"/>
      <c r="B209" s="661"/>
      <c r="C209" s="661"/>
      <c r="D209" s="544" t="s">
        <v>514</v>
      </c>
      <c r="E209" s="543"/>
      <c r="F209" s="532">
        <f>F207-F208</f>
        <v>136319</v>
      </c>
      <c r="G209" s="533"/>
      <c r="H209" s="534">
        <f t="shared" si="4"/>
        <v>136319</v>
      </c>
    </row>
    <row r="210" spans="1:8" ht="17.25">
      <c r="A210" s="659"/>
      <c r="B210" s="657" t="s">
        <v>590</v>
      </c>
      <c r="C210" s="657"/>
      <c r="D210" s="536" t="s">
        <v>512</v>
      </c>
      <c r="E210" s="537"/>
      <c r="F210" s="538">
        <f>F207</f>
        <v>3200000</v>
      </c>
      <c r="G210" s="539"/>
      <c r="H210" s="540">
        <f t="shared" si="4"/>
        <v>3200000</v>
      </c>
    </row>
    <row r="211" spans="1:8" ht="17.25">
      <c r="A211" s="659"/>
      <c r="B211" s="657"/>
      <c r="C211" s="657"/>
      <c r="D211" s="536" t="s">
        <v>553</v>
      </c>
      <c r="E211" s="537"/>
      <c r="F211" s="538">
        <f>F208</f>
        <v>3063681</v>
      </c>
      <c r="G211" s="539"/>
      <c r="H211" s="540">
        <f t="shared" si="4"/>
        <v>3063681</v>
      </c>
    </row>
    <row r="212" spans="1:8" ht="17.25">
      <c r="A212" s="660"/>
      <c r="B212" s="657"/>
      <c r="C212" s="657"/>
      <c r="D212" s="541" t="s">
        <v>542</v>
      </c>
      <c r="E212" s="537"/>
      <c r="F212" s="538">
        <f>F210-F211</f>
        <v>136319</v>
      </c>
      <c r="G212" s="539"/>
      <c r="H212" s="540">
        <f t="shared" si="4"/>
        <v>136319</v>
      </c>
    </row>
    <row r="213" spans="1:8" ht="17.25" customHeight="1">
      <c r="A213" s="658" t="s">
        <v>554</v>
      </c>
      <c r="B213" s="661" t="s">
        <v>555</v>
      </c>
      <c r="C213" s="661" t="s">
        <v>554</v>
      </c>
      <c r="D213" s="542" t="s">
        <v>512</v>
      </c>
      <c r="E213" s="543"/>
      <c r="F213" s="532"/>
      <c r="G213" s="533"/>
      <c r="H213" s="534">
        <f t="shared" si="4"/>
        <v>0</v>
      </c>
    </row>
    <row r="214" spans="1:8" ht="17.25">
      <c r="A214" s="659"/>
      <c r="B214" s="661"/>
      <c r="C214" s="661"/>
      <c r="D214" s="542" t="s">
        <v>516</v>
      </c>
      <c r="E214" s="543"/>
      <c r="F214" s="532">
        <v>73520</v>
      </c>
      <c r="G214" s="533"/>
      <c r="H214" s="534">
        <f t="shared" si="4"/>
        <v>73520</v>
      </c>
    </row>
    <row r="215" spans="1:8" ht="17.25">
      <c r="A215" s="659"/>
      <c r="B215" s="661"/>
      <c r="C215" s="661"/>
      <c r="D215" s="544" t="s">
        <v>514</v>
      </c>
      <c r="E215" s="543"/>
      <c r="F215" s="532">
        <f>F213-F214</f>
        <v>-73520</v>
      </c>
      <c r="G215" s="533"/>
      <c r="H215" s="534">
        <f t="shared" si="4"/>
        <v>-73520</v>
      </c>
    </row>
    <row r="216" spans="1:8" ht="17.25">
      <c r="A216" s="659"/>
      <c r="B216" s="657" t="s">
        <v>590</v>
      </c>
      <c r="C216" s="657"/>
      <c r="D216" s="536" t="s">
        <v>512</v>
      </c>
      <c r="E216" s="537"/>
      <c r="F216" s="538">
        <f>F213</f>
        <v>0</v>
      </c>
      <c r="G216" s="539"/>
      <c r="H216" s="540">
        <f t="shared" si="4"/>
        <v>0</v>
      </c>
    </row>
    <row r="217" spans="1:8" ht="17.25">
      <c r="A217" s="659"/>
      <c r="B217" s="657"/>
      <c r="C217" s="657"/>
      <c r="D217" s="536" t="s">
        <v>541</v>
      </c>
      <c r="E217" s="537"/>
      <c r="F217" s="538">
        <f>F214</f>
        <v>73520</v>
      </c>
      <c r="G217" s="539"/>
      <c r="H217" s="540">
        <f t="shared" si="4"/>
        <v>73520</v>
      </c>
    </row>
    <row r="218" spans="1:8" ht="17.25">
      <c r="A218" s="660"/>
      <c r="B218" s="657"/>
      <c r="C218" s="657"/>
      <c r="D218" s="541" t="s">
        <v>514</v>
      </c>
      <c r="E218" s="537"/>
      <c r="F218" s="538">
        <f>F215</f>
        <v>-73520</v>
      </c>
      <c r="G218" s="539"/>
      <c r="H218" s="540">
        <f t="shared" si="4"/>
        <v>-73520</v>
      </c>
    </row>
    <row r="219" spans="1:8" ht="17.25" customHeight="1">
      <c r="A219" s="654" t="s">
        <v>608</v>
      </c>
      <c r="B219" s="654" t="s">
        <v>608</v>
      </c>
      <c r="C219" s="654" t="s">
        <v>608</v>
      </c>
      <c r="D219" s="530" t="s">
        <v>521</v>
      </c>
      <c r="E219" s="531"/>
      <c r="F219" s="532"/>
      <c r="G219" s="533"/>
      <c r="H219" s="534">
        <f t="shared" si="4"/>
        <v>0</v>
      </c>
    </row>
    <row r="220" spans="1:8" ht="17.25">
      <c r="A220" s="655"/>
      <c r="B220" s="655"/>
      <c r="C220" s="655"/>
      <c r="D220" s="530" t="s">
        <v>599</v>
      </c>
      <c r="E220" s="531"/>
      <c r="F220" s="532">
        <f>32771894-F223-2500260+1765</f>
        <v>29622402</v>
      </c>
      <c r="G220" s="533"/>
      <c r="H220" s="534">
        <f t="shared" si="4"/>
        <v>29622402</v>
      </c>
    </row>
    <row r="221" spans="1:8" ht="17.25">
      <c r="A221" s="655"/>
      <c r="B221" s="656"/>
      <c r="C221" s="656"/>
      <c r="D221" s="535" t="s">
        <v>600</v>
      </c>
      <c r="E221" s="531"/>
      <c r="F221" s="532">
        <f>F219-F220</f>
        <v>-29622402</v>
      </c>
      <c r="G221" s="533"/>
      <c r="H221" s="534">
        <f t="shared" si="4"/>
        <v>-29622402</v>
      </c>
    </row>
    <row r="222" spans="1:8" ht="17.25" customHeight="1">
      <c r="A222" s="655"/>
      <c r="B222" s="654" t="s">
        <v>609</v>
      </c>
      <c r="C222" s="654" t="s">
        <v>610</v>
      </c>
      <c r="D222" s="530" t="s">
        <v>540</v>
      </c>
      <c r="E222" s="531"/>
      <c r="F222" s="532">
        <v>0</v>
      </c>
      <c r="G222" s="533"/>
      <c r="H222" s="534">
        <f>SUM(E222:G222)</f>
        <v>0</v>
      </c>
    </row>
    <row r="223" spans="1:8" ht="17.25">
      <c r="A223" s="655"/>
      <c r="B223" s="655"/>
      <c r="C223" s="655"/>
      <c r="D223" s="530" t="s">
        <v>516</v>
      </c>
      <c r="E223" s="531"/>
      <c r="F223" s="532">
        <v>650997</v>
      </c>
      <c r="G223" s="533"/>
      <c r="H223" s="534">
        <f>SUM(E223:G223)</f>
        <v>650997</v>
      </c>
    </row>
    <row r="224" spans="1:8" ht="17.25">
      <c r="A224" s="655"/>
      <c r="B224" s="656"/>
      <c r="C224" s="656"/>
      <c r="D224" s="535" t="s">
        <v>542</v>
      </c>
      <c r="E224" s="531"/>
      <c r="F224" s="532">
        <f>F222-F223</f>
        <v>-650997</v>
      </c>
      <c r="G224" s="533"/>
      <c r="H224" s="534">
        <f>SUM(E224:G224)</f>
        <v>-650997</v>
      </c>
    </row>
    <row r="225" spans="1:8" ht="17.25" customHeight="1">
      <c r="A225" s="655"/>
      <c r="B225" s="654" t="s">
        <v>611</v>
      </c>
      <c r="C225" s="654" t="s">
        <v>612</v>
      </c>
      <c r="D225" s="535" t="s">
        <v>512</v>
      </c>
      <c r="E225" s="531"/>
      <c r="F225" s="532"/>
      <c r="G225" s="533"/>
      <c r="H225" s="534"/>
    </row>
    <row r="226" spans="1:8" ht="17.25">
      <c r="A226" s="655"/>
      <c r="B226" s="655"/>
      <c r="C226" s="655"/>
      <c r="D226" s="535" t="s">
        <v>516</v>
      </c>
      <c r="E226" s="531"/>
      <c r="F226" s="532">
        <v>2500260</v>
      </c>
      <c r="G226" s="533"/>
      <c r="H226" s="534">
        <f>SUM(E226:G226)</f>
        <v>2500260</v>
      </c>
    </row>
    <row r="227" spans="1:8" ht="17.25">
      <c r="A227" s="655"/>
      <c r="B227" s="656"/>
      <c r="C227" s="656"/>
      <c r="D227" s="535" t="s">
        <v>514</v>
      </c>
      <c r="E227" s="531"/>
      <c r="F227" s="532">
        <f>F225-F226</f>
        <v>-2500260</v>
      </c>
      <c r="G227" s="533"/>
      <c r="H227" s="534">
        <f>SUM(E227:G227)</f>
        <v>-2500260</v>
      </c>
    </row>
    <row r="228" spans="1:8" ht="17.25">
      <c r="A228" s="655"/>
      <c r="B228" s="657" t="s">
        <v>590</v>
      </c>
      <c r="C228" s="657"/>
      <c r="D228" s="536" t="s">
        <v>559</v>
      </c>
      <c r="E228" s="537"/>
      <c r="F228" s="538">
        <f>F219</f>
        <v>0</v>
      </c>
      <c r="G228" s="539"/>
      <c r="H228" s="540">
        <f t="shared" si="4"/>
        <v>0</v>
      </c>
    </row>
    <row r="229" spans="1:8" ht="17.25">
      <c r="A229" s="655"/>
      <c r="B229" s="657"/>
      <c r="C229" s="657"/>
      <c r="D229" s="536" t="s">
        <v>516</v>
      </c>
      <c r="E229" s="537"/>
      <c r="F229" s="538">
        <f>SUM(F220,F223,F226)</f>
        <v>32773659</v>
      </c>
      <c r="G229" s="539"/>
      <c r="H229" s="540">
        <f t="shared" si="4"/>
        <v>32773659</v>
      </c>
    </row>
    <row r="230" spans="1:8" ht="17.25">
      <c r="A230" s="656"/>
      <c r="B230" s="657"/>
      <c r="C230" s="657"/>
      <c r="D230" s="541" t="s">
        <v>514</v>
      </c>
      <c r="E230" s="537"/>
      <c r="F230" s="538">
        <f>F228-F229</f>
        <v>-32773659</v>
      </c>
      <c r="G230" s="539"/>
      <c r="H230" s="540">
        <f t="shared" si="4"/>
        <v>-32773659</v>
      </c>
    </row>
    <row r="231" spans="1:8" ht="17.25">
      <c r="A231" s="653" t="s">
        <v>561</v>
      </c>
      <c r="B231" s="653"/>
      <c r="C231" s="653"/>
      <c r="D231" s="545" t="s">
        <v>512</v>
      </c>
      <c r="E231" s="546"/>
      <c r="F231" s="547">
        <f>F153+F159+F177+F183+F192+F198+F204+F210+F228</f>
        <v>165286013</v>
      </c>
      <c r="G231" s="548">
        <f>G153+G159+G177+G183+G192+G198+G204+G210+G228</f>
        <v>18000000</v>
      </c>
      <c r="H231" s="549">
        <f t="shared" si="4"/>
        <v>183286013</v>
      </c>
    </row>
    <row r="232" spans="1:8" ht="17.25">
      <c r="A232" s="653"/>
      <c r="B232" s="653"/>
      <c r="C232" s="653"/>
      <c r="D232" s="545" t="s">
        <v>516</v>
      </c>
      <c r="E232" s="546"/>
      <c r="F232" s="547">
        <f>F154+F160+F178+F184+F193+F199+F205+F211+F229+F217</f>
        <v>186306998</v>
      </c>
      <c r="G232" s="548">
        <f>G154+G160+G178+G184+G193+G199+G205+G211+G229</f>
        <v>2770000</v>
      </c>
      <c r="H232" s="549">
        <f t="shared" si="4"/>
        <v>189076998</v>
      </c>
    </row>
    <row r="233" spans="1:8" ht="17.25">
      <c r="A233" s="653"/>
      <c r="B233" s="653"/>
      <c r="C233" s="653"/>
      <c r="D233" s="550" t="s">
        <v>514</v>
      </c>
      <c r="E233" s="546"/>
      <c r="F233" s="547">
        <f>F231-F232</f>
        <v>-21020985</v>
      </c>
      <c r="G233" s="548">
        <f>G231-G232</f>
        <v>15230000</v>
      </c>
      <c r="H233" s="549">
        <f t="shared" si="4"/>
        <v>-5790985</v>
      </c>
    </row>
  </sheetData>
  <mergeCells count="147">
    <mergeCell ref="A8:H8"/>
    <mergeCell ref="A9:H9"/>
    <mergeCell ref="A10:C10"/>
    <mergeCell ref="D10:D11"/>
    <mergeCell ref="E10:E11"/>
    <mergeCell ref="F10:F11"/>
    <mergeCell ref="G10:G11"/>
    <mergeCell ref="H10:H11"/>
    <mergeCell ref="A1:B1"/>
    <mergeCell ref="A2:H2"/>
    <mergeCell ref="A3:H3"/>
    <mergeCell ref="A4:H4"/>
    <mergeCell ref="A5:H5"/>
    <mergeCell ref="A7:H7"/>
    <mergeCell ref="A12:A17"/>
    <mergeCell ref="B12:B14"/>
    <mergeCell ref="C12:C14"/>
    <mergeCell ref="B15:C17"/>
    <mergeCell ref="A18:A53"/>
    <mergeCell ref="B18:B20"/>
    <mergeCell ref="C18:C20"/>
    <mergeCell ref="B21:B23"/>
    <mergeCell ref="C21:C23"/>
    <mergeCell ref="B24:B26"/>
    <mergeCell ref="C24:C26"/>
    <mergeCell ref="B27:B29"/>
    <mergeCell ref="C27:C29"/>
    <mergeCell ref="B30:B47"/>
    <mergeCell ref="C30:C32"/>
    <mergeCell ref="C33:C35"/>
    <mergeCell ref="C36:C38"/>
    <mergeCell ref="C39:C41"/>
    <mergeCell ref="C42:C44"/>
    <mergeCell ref="C45:C47"/>
    <mergeCell ref="A60:A65"/>
    <mergeCell ref="B60:B62"/>
    <mergeCell ref="C60:C62"/>
    <mergeCell ref="B63:C65"/>
    <mergeCell ref="A66:A71"/>
    <mergeCell ref="B66:B68"/>
    <mergeCell ref="C66:C68"/>
    <mergeCell ref="B69:C71"/>
    <mergeCell ref="B48:B50"/>
    <mergeCell ref="C48:C50"/>
    <mergeCell ref="B51:C53"/>
    <mergeCell ref="A54:A59"/>
    <mergeCell ref="B54:B56"/>
    <mergeCell ref="C54:C56"/>
    <mergeCell ref="B57:C59"/>
    <mergeCell ref="A84:A89"/>
    <mergeCell ref="B84:B86"/>
    <mergeCell ref="C84:C86"/>
    <mergeCell ref="B87:C89"/>
    <mergeCell ref="A90:A95"/>
    <mergeCell ref="B90:B92"/>
    <mergeCell ref="C90:C92"/>
    <mergeCell ref="B93:C95"/>
    <mergeCell ref="A72:A74"/>
    <mergeCell ref="B72:B74"/>
    <mergeCell ref="C72:C74"/>
    <mergeCell ref="B75:C77"/>
    <mergeCell ref="A78:A83"/>
    <mergeCell ref="B78:B80"/>
    <mergeCell ref="C78:C80"/>
    <mergeCell ref="B81:C83"/>
    <mergeCell ref="A107:H107"/>
    <mergeCell ref="A108:H108"/>
    <mergeCell ref="A109:C109"/>
    <mergeCell ref="D109:D110"/>
    <mergeCell ref="E109:E110"/>
    <mergeCell ref="F109:F110"/>
    <mergeCell ref="G109:G110"/>
    <mergeCell ref="H109:H110"/>
    <mergeCell ref="A96:A101"/>
    <mergeCell ref="B96:B98"/>
    <mergeCell ref="C96:C98"/>
    <mergeCell ref="B99:C101"/>
    <mergeCell ref="A102:C104"/>
    <mergeCell ref="A106:H106"/>
    <mergeCell ref="C129:C131"/>
    <mergeCell ref="C132:C134"/>
    <mergeCell ref="B135:B137"/>
    <mergeCell ref="C135:C137"/>
    <mergeCell ref="B138:B149"/>
    <mergeCell ref="C138:C140"/>
    <mergeCell ref="C141:C143"/>
    <mergeCell ref="C144:C146"/>
    <mergeCell ref="C147:C149"/>
    <mergeCell ref="B126:B134"/>
    <mergeCell ref="C126:C128"/>
    <mergeCell ref="A162:A179"/>
    <mergeCell ref="B162:B176"/>
    <mergeCell ref="C162:C164"/>
    <mergeCell ref="C165:C167"/>
    <mergeCell ref="C168:C170"/>
    <mergeCell ref="C171:C173"/>
    <mergeCell ref="C174:C176"/>
    <mergeCell ref="B177:C179"/>
    <mergeCell ref="B150:B152"/>
    <mergeCell ref="C150:C152"/>
    <mergeCell ref="B153:C155"/>
    <mergeCell ref="A156:A161"/>
    <mergeCell ref="B156:B158"/>
    <mergeCell ref="C156:C158"/>
    <mergeCell ref="B159:C161"/>
    <mergeCell ref="A111:A155"/>
    <mergeCell ref="B111:B122"/>
    <mergeCell ref="C111:C113"/>
    <mergeCell ref="C114:C116"/>
    <mergeCell ref="C117:C119"/>
    <mergeCell ref="C120:C122"/>
    <mergeCell ref="B123:B125"/>
    <mergeCell ref="C123:C125"/>
    <mergeCell ref="A180:A185"/>
    <mergeCell ref="B180:B182"/>
    <mergeCell ref="C180:C182"/>
    <mergeCell ref="B183:C185"/>
    <mergeCell ref="A186:A194"/>
    <mergeCell ref="B186:B191"/>
    <mergeCell ref="C186:C188"/>
    <mergeCell ref="C189:C191"/>
    <mergeCell ref="B192:C194"/>
    <mergeCell ref="A207:A212"/>
    <mergeCell ref="B207:B209"/>
    <mergeCell ref="C207:C209"/>
    <mergeCell ref="B210:C212"/>
    <mergeCell ref="A213:A218"/>
    <mergeCell ref="B213:B215"/>
    <mergeCell ref="C213:C215"/>
    <mergeCell ref="B216:C218"/>
    <mergeCell ref="A195:A200"/>
    <mergeCell ref="B195:B197"/>
    <mergeCell ref="C195:C197"/>
    <mergeCell ref="B198:C200"/>
    <mergeCell ref="A201:A206"/>
    <mergeCell ref="B201:B203"/>
    <mergeCell ref="C201:C203"/>
    <mergeCell ref="B204:C206"/>
    <mergeCell ref="A231:C233"/>
    <mergeCell ref="A219:A230"/>
    <mergeCell ref="B219:B221"/>
    <mergeCell ref="C219:C221"/>
    <mergeCell ref="B222:B224"/>
    <mergeCell ref="C222:C224"/>
    <mergeCell ref="B225:B227"/>
    <mergeCell ref="C225:C227"/>
    <mergeCell ref="B228:C230"/>
  </mergeCells>
  <phoneticPr fontId="3" type="noConversion"/>
  <pageMargins left="0.25" right="0.25" top="0.75" bottom="0.75" header="0.3" footer="0.3"/>
  <pageSetup paperSize="9" scale="94" fitToHeight="0" orientation="portrait" r:id="rId1"/>
  <headerFooter alignWithMargins="0"/>
  <rowBreaks count="1" manualBreakCount="1">
    <brk id="10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3"/>
  <sheetViews>
    <sheetView view="pageBreakPreview" topLeftCell="A34" zoomScaleNormal="100" zoomScaleSheetLayoutView="100" workbookViewId="0">
      <selection activeCell="G39" sqref="G39"/>
    </sheetView>
  </sheetViews>
  <sheetFormatPr defaultRowHeight="16.5"/>
  <cols>
    <col min="1" max="1" width="4" style="1" customWidth="1"/>
    <col min="2" max="2" width="10.5" style="1" customWidth="1"/>
    <col min="3" max="3" width="11.75" style="1" customWidth="1"/>
    <col min="4" max="4" width="15.375" style="1" customWidth="1"/>
    <col min="5" max="6" width="14.125" style="1" bestFit="1" customWidth="1"/>
    <col min="7" max="7" width="12.625" style="1" bestFit="1" customWidth="1"/>
    <col min="8" max="8" width="10.875" style="1" customWidth="1"/>
    <col min="9" max="9" width="10.625" style="1" customWidth="1"/>
    <col min="10" max="10" width="11.875" style="1" customWidth="1"/>
    <col min="11" max="11" width="14.875" style="1" bestFit="1" customWidth="1"/>
    <col min="12" max="12" width="14.125" style="1" bestFit="1" customWidth="1"/>
    <col min="13" max="13" width="12.625" style="1" bestFit="1" customWidth="1"/>
    <col min="14" max="256" width="9" style="1"/>
    <col min="257" max="257" width="4" style="1" customWidth="1"/>
    <col min="258" max="258" width="10.5" style="1" customWidth="1"/>
    <col min="259" max="259" width="11.75" style="1" customWidth="1"/>
    <col min="260" max="260" width="15.375" style="1" customWidth="1"/>
    <col min="261" max="262" width="14.125" style="1" bestFit="1" customWidth="1"/>
    <col min="263" max="263" width="12.625" style="1" bestFit="1" customWidth="1"/>
    <col min="264" max="264" width="10.875" style="1" customWidth="1"/>
    <col min="265" max="265" width="10.625" style="1" customWidth="1"/>
    <col min="266" max="266" width="11.875" style="1" customWidth="1"/>
    <col min="267" max="268" width="14.125" style="1" bestFit="1" customWidth="1"/>
    <col min="269" max="269" width="12.625" style="1" bestFit="1" customWidth="1"/>
    <col min="270" max="512" width="9" style="1"/>
    <col min="513" max="513" width="4" style="1" customWidth="1"/>
    <col min="514" max="514" width="10.5" style="1" customWidth="1"/>
    <col min="515" max="515" width="11.75" style="1" customWidth="1"/>
    <col min="516" max="516" width="15.375" style="1" customWidth="1"/>
    <col min="517" max="518" width="14.125" style="1" bestFit="1" customWidth="1"/>
    <col min="519" max="519" width="12.625" style="1" bestFit="1" customWidth="1"/>
    <col min="520" max="520" width="10.875" style="1" customWidth="1"/>
    <col min="521" max="521" width="10.625" style="1" customWidth="1"/>
    <col min="522" max="522" width="11.875" style="1" customWidth="1"/>
    <col min="523" max="524" width="14.125" style="1" bestFit="1" customWidth="1"/>
    <col min="525" max="525" width="12.625" style="1" bestFit="1" customWidth="1"/>
    <col min="526" max="768" width="9" style="1"/>
    <col min="769" max="769" width="4" style="1" customWidth="1"/>
    <col min="770" max="770" width="10.5" style="1" customWidth="1"/>
    <col min="771" max="771" width="11.75" style="1" customWidth="1"/>
    <col min="772" max="772" width="15.375" style="1" customWidth="1"/>
    <col min="773" max="774" width="14.125" style="1" bestFit="1" customWidth="1"/>
    <col min="775" max="775" width="12.625" style="1" bestFit="1" customWidth="1"/>
    <col min="776" max="776" width="10.875" style="1" customWidth="1"/>
    <col min="777" max="777" width="10.625" style="1" customWidth="1"/>
    <col min="778" max="778" width="11.875" style="1" customWidth="1"/>
    <col min="779" max="780" width="14.125" style="1" bestFit="1" customWidth="1"/>
    <col min="781" max="781" width="12.625" style="1" bestFit="1" customWidth="1"/>
    <col min="782" max="1024" width="9" style="1"/>
    <col min="1025" max="1025" width="4" style="1" customWidth="1"/>
    <col min="1026" max="1026" width="10.5" style="1" customWidth="1"/>
    <col min="1027" max="1027" width="11.75" style="1" customWidth="1"/>
    <col min="1028" max="1028" width="15.375" style="1" customWidth="1"/>
    <col min="1029" max="1030" width="14.125" style="1" bestFit="1" customWidth="1"/>
    <col min="1031" max="1031" width="12.625" style="1" bestFit="1" customWidth="1"/>
    <col min="1032" max="1032" width="10.875" style="1" customWidth="1"/>
    <col min="1033" max="1033" width="10.625" style="1" customWidth="1"/>
    <col min="1034" max="1034" width="11.875" style="1" customWidth="1"/>
    <col min="1035" max="1036" width="14.125" style="1" bestFit="1" customWidth="1"/>
    <col min="1037" max="1037" width="12.625" style="1" bestFit="1" customWidth="1"/>
    <col min="1038" max="1280" width="9" style="1"/>
    <col min="1281" max="1281" width="4" style="1" customWidth="1"/>
    <col min="1282" max="1282" width="10.5" style="1" customWidth="1"/>
    <col min="1283" max="1283" width="11.75" style="1" customWidth="1"/>
    <col min="1284" max="1284" width="15.375" style="1" customWidth="1"/>
    <col min="1285" max="1286" width="14.125" style="1" bestFit="1" customWidth="1"/>
    <col min="1287" max="1287" width="12.625" style="1" bestFit="1" customWidth="1"/>
    <col min="1288" max="1288" width="10.875" style="1" customWidth="1"/>
    <col min="1289" max="1289" width="10.625" style="1" customWidth="1"/>
    <col min="1290" max="1290" width="11.875" style="1" customWidth="1"/>
    <col min="1291" max="1292" width="14.125" style="1" bestFit="1" customWidth="1"/>
    <col min="1293" max="1293" width="12.625" style="1" bestFit="1" customWidth="1"/>
    <col min="1294" max="1536" width="9" style="1"/>
    <col min="1537" max="1537" width="4" style="1" customWidth="1"/>
    <col min="1538" max="1538" width="10.5" style="1" customWidth="1"/>
    <col min="1539" max="1539" width="11.75" style="1" customWidth="1"/>
    <col min="1540" max="1540" width="15.375" style="1" customWidth="1"/>
    <col min="1541" max="1542" width="14.125" style="1" bestFit="1" customWidth="1"/>
    <col min="1543" max="1543" width="12.625" style="1" bestFit="1" customWidth="1"/>
    <col min="1544" max="1544" width="10.875" style="1" customWidth="1"/>
    <col min="1545" max="1545" width="10.625" style="1" customWidth="1"/>
    <col min="1546" max="1546" width="11.875" style="1" customWidth="1"/>
    <col min="1547" max="1548" width="14.125" style="1" bestFit="1" customWidth="1"/>
    <col min="1549" max="1549" width="12.625" style="1" bestFit="1" customWidth="1"/>
    <col min="1550" max="1792" width="9" style="1"/>
    <col min="1793" max="1793" width="4" style="1" customWidth="1"/>
    <col min="1794" max="1794" width="10.5" style="1" customWidth="1"/>
    <col min="1795" max="1795" width="11.75" style="1" customWidth="1"/>
    <col min="1796" max="1796" width="15.375" style="1" customWidth="1"/>
    <col min="1797" max="1798" width="14.125" style="1" bestFit="1" customWidth="1"/>
    <col min="1799" max="1799" width="12.625" style="1" bestFit="1" customWidth="1"/>
    <col min="1800" max="1800" width="10.875" style="1" customWidth="1"/>
    <col min="1801" max="1801" width="10.625" style="1" customWidth="1"/>
    <col min="1802" max="1802" width="11.875" style="1" customWidth="1"/>
    <col min="1803" max="1804" width="14.125" style="1" bestFit="1" customWidth="1"/>
    <col min="1805" max="1805" width="12.625" style="1" bestFit="1" customWidth="1"/>
    <col min="1806" max="2048" width="9" style="1"/>
    <col min="2049" max="2049" width="4" style="1" customWidth="1"/>
    <col min="2050" max="2050" width="10.5" style="1" customWidth="1"/>
    <col min="2051" max="2051" width="11.75" style="1" customWidth="1"/>
    <col min="2052" max="2052" width="15.375" style="1" customWidth="1"/>
    <col min="2053" max="2054" width="14.125" style="1" bestFit="1" customWidth="1"/>
    <col min="2055" max="2055" width="12.625" style="1" bestFit="1" customWidth="1"/>
    <col min="2056" max="2056" width="10.875" style="1" customWidth="1"/>
    <col min="2057" max="2057" width="10.625" style="1" customWidth="1"/>
    <col min="2058" max="2058" width="11.875" style="1" customWidth="1"/>
    <col min="2059" max="2060" width="14.125" style="1" bestFit="1" customWidth="1"/>
    <col min="2061" max="2061" width="12.625" style="1" bestFit="1" customWidth="1"/>
    <col min="2062" max="2304" width="9" style="1"/>
    <col min="2305" max="2305" width="4" style="1" customWidth="1"/>
    <col min="2306" max="2306" width="10.5" style="1" customWidth="1"/>
    <col min="2307" max="2307" width="11.75" style="1" customWidth="1"/>
    <col min="2308" max="2308" width="15.375" style="1" customWidth="1"/>
    <col min="2309" max="2310" width="14.125" style="1" bestFit="1" customWidth="1"/>
    <col min="2311" max="2311" width="12.625" style="1" bestFit="1" customWidth="1"/>
    <col min="2312" max="2312" width="10.875" style="1" customWidth="1"/>
    <col min="2313" max="2313" width="10.625" style="1" customWidth="1"/>
    <col min="2314" max="2314" width="11.875" style="1" customWidth="1"/>
    <col min="2315" max="2316" width="14.125" style="1" bestFit="1" customWidth="1"/>
    <col min="2317" max="2317" width="12.625" style="1" bestFit="1" customWidth="1"/>
    <col min="2318" max="2560" width="9" style="1"/>
    <col min="2561" max="2561" width="4" style="1" customWidth="1"/>
    <col min="2562" max="2562" width="10.5" style="1" customWidth="1"/>
    <col min="2563" max="2563" width="11.75" style="1" customWidth="1"/>
    <col min="2564" max="2564" width="15.375" style="1" customWidth="1"/>
    <col min="2565" max="2566" width="14.125" style="1" bestFit="1" customWidth="1"/>
    <col min="2567" max="2567" width="12.625" style="1" bestFit="1" customWidth="1"/>
    <col min="2568" max="2568" width="10.875" style="1" customWidth="1"/>
    <col min="2569" max="2569" width="10.625" style="1" customWidth="1"/>
    <col min="2570" max="2570" width="11.875" style="1" customWidth="1"/>
    <col min="2571" max="2572" width="14.125" style="1" bestFit="1" customWidth="1"/>
    <col min="2573" max="2573" width="12.625" style="1" bestFit="1" customWidth="1"/>
    <col min="2574" max="2816" width="9" style="1"/>
    <col min="2817" max="2817" width="4" style="1" customWidth="1"/>
    <col min="2818" max="2818" width="10.5" style="1" customWidth="1"/>
    <col min="2819" max="2819" width="11.75" style="1" customWidth="1"/>
    <col min="2820" max="2820" width="15.375" style="1" customWidth="1"/>
    <col min="2821" max="2822" width="14.125" style="1" bestFit="1" customWidth="1"/>
    <col min="2823" max="2823" width="12.625" style="1" bestFit="1" customWidth="1"/>
    <col min="2824" max="2824" width="10.875" style="1" customWidth="1"/>
    <col min="2825" max="2825" width="10.625" style="1" customWidth="1"/>
    <col min="2826" max="2826" width="11.875" style="1" customWidth="1"/>
    <col min="2827" max="2828" width="14.125" style="1" bestFit="1" customWidth="1"/>
    <col min="2829" max="2829" width="12.625" style="1" bestFit="1" customWidth="1"/>
    <col min="2830" max="3072" width="9" style="1"/>
    <col min="3073" max="3073" width="4" style="1" customWidth="1"/>
    <col min="3074" max="3074" width="10.5" style="1" customWidth="1"/>
    <col min="3075" max="3075" width="11.75" style="1" customWidth="1"/>
    <col min="3076" max="3076" width="15.375" style="1" customWidth="1"/>
    <col min="3077" max="3078" width="14.125" style="1" bestFit="1" customWidth="1"/>
    <col min="3079" max="3079" width="12.625" style="1" bestFit="1" customWidth="1"/>
    <col min="3080" max="3080" width="10.875" style="1" customWidth="1"/>
    <col min="3081" max="3081" width="10.625" style="1" customWidth="1"/>
    <col min="3082" max="3082" width="11.875" style="1" customWidth="1"/>
    <col min="3083" max="3084" width="14.125" style="1" bestFit="1" customWidth="1"/>
    <col min="3085" max="3085" width="12.625" style="1" bestFit="1" customWidth="1"/>
    <col min="3086" max="3328" width="9" style="1"/>
    <col min="3329" max="3329" width="4" style="1" customWidth="1"/>
    <col min="3330" max="3330" width="10.5" style="1" customWidth="1"/>
    <col min="3331" max="3331" width="11.75" style="1" customWidth="1"/>
    <col min="3332" max="3332" width="15.375" style="1" customWidth="1"/>
    <col min="3333" max="3334" width="14.125" style="1" bestFit="1" customWidth="1"/>
    <col min="3335" max="3335" width="12.625" style="1" bestFit="1" customWidth="1"/>
    <col min="3336" max="3336" width="10.875" style="1" customWidth="1"/>
    <col min="3337" max="3337" width="10.625" style="1" customWidth="1"/>
    <col min="3338" max="3338" width="11.875" style="1" customWidth="1"/>
    <col min="3339" max="3340" width="14.125" style="1" bestFit="1" customWidth="1"/>
    <col min="3341" max="3341" width="12.625" style="1" bestFit="1" customWidth="1"/>
    <col min="3342" max="3584" width="9" style="1"/>
    <col min="3585" max="3585" width="4" style="1" customWidth="1"/>
    <col min="3586" max="3586" width="10.5" style="1" customWidth="1"/>
    <col min="3587" max="3587" width="11.75" style="1" customWidth="1"/>
    <col min="3588" max="3588" width="15.375" style="1" customWidth="1"/>
    <col min="3589" max="3590" width="14.125" style="1" bestFit="1" customWidth="1"/>
    <col min="3591" max="3591" width="12.625" style="1" bestFit="1" customWidth="1"/>
    <col min="3592" max="3592" width="10.875" style="1" customWidth="1"/>
    <col min="3593" max="3593" width="10.625" style="1" customWidth="1"/>
    <col min="3594" max="3594" width="11.875" style="1" customWidth="1"/>
    <col min="3595" max="3596" width="14.125" style="1" bestFit="1" customWidth="1"/>
    <col min="3597" max="3597" width="12.625" style="1" bestFit="1" customWidth="1"/>
    <col min="3598" max="3840" width="9" style="1"/>
    <col min="3841" max="3841" width="4" style="1" customWidth="1"/>
    <col min="3842" max="3842" width="10.5" style="1" customWidth="1"/>
    <col min="3843" max="3843" width="11.75" style="1" customWidth="1"/>
    <col min="3844" max="3844" width="15.375" style="1" customWidth="1"/>
    <col min="3845" max="3846" width="14.125" style="1" bestFit="1" customWidth="1"/>
    <col min="3847" max="3847" width="12.625" style="1" bestFit="1" customWidth="1"/>
    <col min="3848" max="3848" width="10.875" style="1" customWidth="1"/>
    <col min="3849" max="3849" width="10.625" style="1" customWidth="1"/>
    <col min="3850" max="3850" width="11.875" style="1" customWidth="1"/>
    <col min="3851" max="3852" width="14.125" style="1" bestFit="1" customWidth="1"/>
    <col min="3853" max="3853" width="12.625" style="1" bestFit="1" customWidth="1"/>
    <col min="3854" max="4096" width="9" style="1"/>
    <col min="4097" max="4097" width="4" style="1" customWidth="1"/>
    <col min="4098" max="4098" width="10.5" style="1" customWidth="1"/>
    <col min="4099" max="4099" width="11.75" style="1" customWidth="1"/>
    <col min="4100" max="4100" width="15.375" style="1" customWidth="1"/>
    <col min="4101" max="4102" width="14.125" style="1" bestFit="1" customWidth="1"/>
    <col min="4103" max="4103" width="12.625" style="1" bestFit="1" customWidth="1"/>
    <col min="4104" max="4104" width="10.875" style="1" customWidth="1"/>
    <col min="4105" max="4105" width="10.625" style="1" customWidth="1"/>
    <col min="4106" max="4106" width="11.875" style="1" customWidth="1"/>
    <col min="4107" max="4108" width="14.125" style="1" bestFit="1" customWidth="1"/>
    <col min="4109" max="4109" width="12.625" style="1" bestFit="1" customWidth="1"/>
    <col min="4110" max="4352" width="9" style="1"/>
    <col min="4353" max="4353" width="4" style="1" customWidth="1"/>
    <col min="4354" max="4354" width="10.5" style="1" customWidth="1"/>
    <col min="4355" max="4355" width="11.75" style="1" customWidth="1"/>
    <col min="4356" max="4356" width="15.375" style="1" customWidth="1"/>
    <col min="4357" max="4358" width="14.125" style="1" bestFit="1" customWidth="1"/>
    <col min="4359" max="4359" width="12.625" style="1" bestFit="1" customWidth="1"/>
    <col min="4360" max="4360" width="10.875" style="1" customWidth="1"/>
    <col min="4361" max="4361" width="10.625" style="1" customWidth="1"/>
    <col min="4362" max="4362" width="11.875" style="1" customWidth="1"/>
    <col min="4363" max="4364" width="14.125" style="1" bestFit="1" customWidth="1"/>
    <col min="4365" max="4365" width="12.625" style="1" bestFit="1" customWidth="1"/>
    <col min="4366" max="4608" width="9" style="1"/>
    <col min="4609" max="4609" width="4" style="1" customWidth="1"/>
    <col min="4610" max="4610" width="10.5" style="1" customWidth="1"/>
    <col min="4611" max="4611" width="11.75" style="1" customWidth="1"/>
    <col min="4612" max="4612" width="15.375" style="1" customWidth="1"/>
    <col min="4613" max="4614" width="14.125" style="1" bestFit="1" customWidth="1"/>
    <col min="4615" max="4615" width="12.625" style="1" bestFit="1" customWidth="1"/>
    <col min="4616" max="4616" width="10.875" style="1" customWidth="1"/>
    <col min="4617" max="4617" width="10.625" style="1" customWidth="1"/>
    <col min="4618" max="4618" width="11.875" style="1" customWidth="1"/>
    <col min="4619" max="4620" width="14.125" style="1" bestFit="1" customWidth="1"/>
    <col min="4621" max="4621" width="12.625" style="1" bestFit="1" customWidth="1"/>
    <col min="4622" max="4864" width="9" style="1"/>
    <col min="4865" max="4865" width="4" style="1" customWidth="1"/>
    <col min="4866" max="4866" width="10.5" style="1" customWidth="1"/>
    <col min="4867" max="4867" width="11.75" style="1" customWidth="1"/>
    <col min="4868" max="4868" width="15.375" style="1" customWidth="1"/>
    <col min="4869" max="4870" width="14.125" style="1" bestFit="1" customWidth="1"/>
    <col min="4871" max="4871" width="12.625" style="1" bestFit="1" customWidth="1"/>
    <col min="4872" max="4872" width="10.875" style="1" customWidth="1"/>
    <col min="4873" max="4873" width="10.625" style="1" customWidth="1"/>
    <col min="4874" max="4874" width="11.875" style="1" customWidth="1"/>
    <col min="4875" max="4876" width="14.125" style="1" bestFit="1" customWidth="1"/>
    <col min="4877" max="4877" width="12.625" style="1" bestFit="1" customWidth="1"/>
    <col min="4878" max="5120" width="9" style="1"/>
    <col min="5121" max="5121" width="4" style="1" customWidth="1"/>
    <col min="5122" max="5122" width="10.5" style="1" customWidth="1"/>
    <col min="5123" max="5123" width="11.75" style="1" customWidth="1"/>
    <col min="5124" max="5124" width="15.375" style="1" customWidth="1"/>
    <col min="5125" max="5126" width="14.125" style="1" bestFit="1" customWidth="1"/>
    <col min="5127" max="5127" width="12.625" style="1" bestFit="1" customWidth="1"/>
    <col min="5128" max="5128" width="10.875" style="1" customWidth="1"/>
    <col min="5129" max="5129" width="10.625" style="1" customWidth="1"/>
    <col min="5130" max="5130" width="11.875" style="1" customWidth="1"/>
    <col min="5131" max="5132" width="14.125" style="1" bestFit="1" customWidth="1"/>
    <col min="5133" max="5133" width="12.625" style="1" bestFit="1" customWidth="1"/>
    <col min="5134" max="5376" width="9" style="1"/>
    <col min="5377" max="5377" width="4" style="1" customWidth="1"/>
    <col min="5378" max="5378" width="10.5" style="1" customWidth="1"/>
    <col min="5379" max="5379" width="11.75" style="1" customWidth="1"/>
    <col min="5380" max="5380" width="15.375" style="1" customWidth="1"/>
    <col min="5381" max="5382" width="14.125" style="1" bestFit="1" customWidth="1"/>
    <col min="5383" max="5383" width="12.625" style="1" bestFit="1" customWidth="1"/>
    <col min="5384" max="5384" width="10.875" style="1" customWidth="1"/>
    <col min="5385" max="5385" width="10.625" style="1" customWidth="1"/>
    <col min="5386" max="5386" width="11.875" style="1" customWidth="1"/>
    <col min="5387" max="5388" width="14.125" style="1" bestFit="1" customWidth="1"/>
    <col min="5389" max="5389" width="12.625" style="1" bestFit="1" customWidth="1"/>
    <col min="5390" max="5632" width="9" style="1"/>
    <col min="5633" max="5633" width="4" style="1" customWidth="1"/>
    <col min="5634" max="5634" width="10.5" style="1" customWidth="1"/>
    <col min="5635" max="5635" width="11.75" style="1" customWidth="1"/>
    <col min="5636" max="5636" width="15.375" style="1" customWidth="1"/>
    <col min="5637" max="5638" width="14.125" style="1" bestFit="1" customWidth="1"/>
    <col min="5639" max="5639" width="12.625" style="1" bestFit="1" customWidth="1"/>
    <col min="5640" max="5640" width="10.875" style="1" customWidth="1"/>
    <col min="5641" max="5641" width="10.625" style="1" customWidth="1"/>
    <col min="5642" max="5642" width="11.875" style="1" customWidth="1"/>
    <col min="5643" max="5644" width="14.125" style="1" bestFit="1" customWidth="1"/>
    <col min="5645" max="5645" width="12.625" style="1" bestFit="1" customWidth="1"/>
    <col min="5646" max="5888" width="9" style="1"/>
    <col min="5889" max="5889" width="4" style="1" customWidth="1"/>
    <col min="5890" max="5890" width="10.5" style="1" customWidth="1"/>
    <col min="5891" max="5891" width="11.75" style="1" customWidth="1"/>
    <col min="5892" max="5892" width="15.375" style="1" customWidth="1"/>
    <col min="5893" max="5894" width="14.125" style="1" bestFit="1" customWidth="1"/>
    <col min="5895" max="5895" width="12.625" style="1" bestFit="1" customWidth="1"/>
    <col min="5896" max="5896" width="10.875" style="1" customWidth="1"/>
    <col min="5897" max="5897" width="10.625" style="1" customWidth="1"/>
    <col min="5898" max="5898" width="11.875" style="1" customWidth="1"/>
    <col min="5899" max="5900" width="14.125" style="1" bestFit="1" customWidth="1"/>
    <col min="5901" max="5901" width="12.625" style="1" bestFit="1" customWidth="1"/>
    <col min="5902" max="6144" width="9" style="1"/>
    <col min="6145" max="6145" width="4" style="1" customWidth="1"/>
    <col min="6146" max="6146" width="10.5" style="1" customWidth="1"/>
    <col min="6147" max="6147" width="11.75" style="1" customWidth="1"/>
    <col min="6148" max="6148" width="15.375" style="1" customWidth="1"/>
    <col min="6149" max="6150" width="14.125" style="1" bestFit="1" customWidth="1"/>
    <col min="6151" max="6151" width="12.625" style="1" bestFit="1" customWidth="1"/>
    <col min="6152" max="6152" width="10.875" style="1" customWidth="1"/>
    <col min="6153" max="6153" width="10.625" style="1" customWidth="1"/>
    <col min="6154" max="6154" width="11.875" style="1" customWidth="1"/>
    <col min="6155" max="6156" width="14.125" style="1" bestFit="1" customWidth="1"/>
    <col min="6157" max="6157" width="12.625" style="1" bestFit="1" customWidth="1"/>
    <col min="6158" max="6400" width="9" style="1"/>
    <col min="6401" max="6401" width="4" style="1" customWidth="1"/>
    <col min="6402" max="6402" width="10.5" style="1" customWidth="1"/>
    <col min="6403" max="6403" width="11.75" style="1" customWidth="1"/>
    <col min="6404" max="6404" width="15.375" style="1" customWidth="1"/>
    <col min="6405" max="6406" width="14.125" style="1" bestFit="1" customWidth="1"/>
    <col min="6407" max="6407" width="12.625" style="1" bestFit="1" customWidth="1"/>
    <col min="6408" max="6408" width="10.875" style="1" customWidth="1"/>
    <col min="6409" max="6409" width="10.625" style="1" customWidth="1"/>
    <col min="6410" max="6410" width="11.875" style="1" customWidth="1"/>
    <col min="6411" max="6412" width="14.125" style="1" bestFit="1" customWidth="1"/>
    <col min="6413" max="6413" width="12.625" style="1" bestFit="1" customWidth="1"/>
    <col min="6414" max="6656" width="9" style="1"/>
    <col min="6657" max="6657" width="4" style="1" customWidth="1"/>
    <col min="6658" max="6658" width="10.5" style="1" customWidth="1"/>
    <col min="6659" max="6659" width="11.75" style="1" customWidth="1"/>
    <col min="6660" max="6660" width="15.375" style="1" customWidth="1"/>
    <col min="6661" max="6662" width="14.125" style="1" bestFit="1" customWidth="1"/>
    <col min="6663" max="6663" width="12.625" style="1" bestFit="1" customWidth="1"/>
    <col min="6664" max="6664" width="10.875" style="1" customWidth="1"/>
    <col min="6665" max="6665" width="10.625" style="1" customWidth="1"/>
    <col min="6666" max="6666" width="11.875" style="1" customWidth="1"/>
    <col min="6667" max="6668" width="14.125" style="1" bestFit="1" customWidth="1"/>
    <col min="6669" max="6669" width="12.625" style="1" bestFit="1" customWidth="1"/>
    <col min="6670" max="6912" width="9" style="1"/>
    <col min="6913" max="6913" width="4" style="1" customWidth="1"/>
    <col min="6914" max="6914" width="10.5" style="1" customWidth="1"/>
    <col min="6915" max="6915" width="11.75" style="1" customWidth="1"/>
    <col min="6916" max="6916" width="15.375" style="1" customWidth="1"/>
    <col min="6917" max="6918" width="14.125" style="1" bestFit="1" customWidth="1"/>
    <col min="6919" max="6919" width="12.625" style="1" bestFit="1" customWidth="1"/>
    <col min="6920" max="6920" width="10.875" style="1" customWidth="1"/>
    <col min="6921" max="6921" width="10.625" style="1" customWidth="1"/>
    <col min="6922" max="6922" width="11.875" style="1" customWidth="1"/>
    <col min="6923" max="6924" width="14.125" style="1" bestFit="1" customWidth="1"/>
    <col min="6925" max="6925" width="12.625" style="1" bestFit="1" customWidth="1"/>
    <col min="6926" max="7168" width="9" style="1"/>
    <col min="7169" max="7169" width="4" style="1" customWidth="1"/>
    <col min="7170" max="7170" width="10.5" style="1" customWidth="1"/>
    <col min="7171" max="7171" width="11.75" style="1" customWidth="1"/>
    <col min="7172" max="7172" width="15.375" style="1" customWidth="1"/>
    <col min="7173" max="7174" width="14.125" style="1" bestFit="1" customWidth="1"/>
    <col min="7175" max="7175" width="12.625" style="1" bestFit="1" customWidth="1"/>
    <col min="7176" max="7176" width="10.875" style="1" customWidth="1"/>
    <col min="7177" max="7177" width="10.625" style="1" customWidth="1"/>
    <col min="7178" max="7178" width="11.875" style="1" customWidth="1"/>
    <col min="7179" max="7180" width="14.125" style="1" bestFit="1" customWidth="1"/>
    <col min="7181" max="7181" width="12.625" style="1" bestFit="1" customWidth="1"/>
    <col min="7182" max="7424" width="9" style="1"/>
    <col min="7425" max="7425" width="4" style="1" customWidth="1"/>
    <col min="7426" max="7426" width="10.5" style="1" customWidth="1"/>
    <col min="7427" max="7427" width="11.75" style="1" customWidth="1"/>
    <col min="7428" max="7428" width="15.375" style="1" customWidth="1"/>
    <col min="7429" max="7430" width="14.125" style="1" bestFit="1" customWidth="1"/>
    <col min="7431" max="7431" width="12.625" style="1" bestFit="1" customWidth="1"/>
    <col min="7432" max="7432" width="10.875" style="1" customWidth="1"/>
    <col min="7433" max="7433" width="10.625" style="1" customWidth="1"/>
    <col min="7434" max="7434" width="11.875" style="1" customWidth="1"/>
    <col min="7435" max="7436" width="14.125" style="1" bestFit="1" customWidth="1"/>
    <col min="7437" max="7437" width="12.625" style="1" bestFit="1" customWidth="1"/>
    <col min="7438" max="7680" width="9" style="1"/>
    <col min="7681" max="7681" width="4" style="1" customWidth="1"/>
    <col min="7682" max="7682" width="10.5" style="1" customWidth="1"/>
    <col min="7683" max="7683" width="11.75" style="1" customWidth="1"/>
    <col min="7684" max="7684" width="15.375" style="1" customWidth="1"/>
    <col min="7685" max="7686" width="14.125" style="1" bestFit="1" customWidth="1"/>
    <col min="7687" max="7687" width="12.625" style="1" bestFit="1" customWidth="1"/>
    <col min="7688" max="7688" width="10.875" style="1" customWidth="1"/>
    <col min="7689" max="7689" width="10.625" style="1" customWidth="1"/>
    <col min="7690" max="7690" width="11.875" style="1" customWidth="1"/>
    <col min="7691" max="7692" width="14.125" style="1" bestFit="1" customWidth="1"/>
    <col min="7693" max="7693" width="12.625" style="1" bestFit="1" customWidth="1"/>
    <col min="7694" max="7936" width="9" style="1"/>
    <col min="7937" max="7937" width="4" style="1" customWidth="1"/>
    <col min="7938" max="7938" width="10.5" style="1" customWidth="1"/>
    <col min="7939" max="7939" width="11.75" style="1" customWidth="1"/>
    <col min="7940" max="7940" width="15.375" style="1" customWidth="1"/>
    <col min="7941" max="7942" width="14.125" style="1" bestFit="1" customWidth="1"/>
    <col min="7943" max="7943" width="12.625" style="1" bestFit="1" customWidth="1"/>
    <col min="7944" max="7944" width="10.875" style="1" customWidth="1"/>
    <col min="7945" max="7945" width="10.625" style="1" customWidth="1"/>
    <col min="7946" max="7946" width="11.875" style="1" customWidth="1"/>
    <col min="7947" max="7948" width="14.125" style="1" bestFit="1" customWidth="1"/>
    <col min="7949" max="7949" width="12.625" style="1" bestFit="1" customWidth="1"/>
    <col min="7950" max="8192" width="9" style="1"/>
    <col min="8193" max="8193" width="4" style="1" customWidth="1"/>
    <col min="8194" max="8194" width="10.5" style="1" customWidth="1"/>
    <col min="8195" max="8195" width="11.75" style="1" customWidth="1"/>
    <col min="8196" max="8196" width="15.375" style="1" customWidth="1"/>
    <col min="8197" max="8198" width="14.125" style="1" bestFit="1" customWidth="1"/>
    <col min="8199" max="8199" width="12.625" style="1" bestFit="1" customWidth="1"/>
    <col min="8200" max="8200" width="10.875" style="1" customWidth="1"/>
    <col min="8201" max="8201" width="10.625" style="1" customWidth="1"/>
    <col min="8202" max="8202" width="11.875" style="1" customWidth="1"/>
    <col min="8203" max="8204" width="14.125" style="1" bestFit="1" customWidth="1"/>
    <col min="8205" max="8205" width="12.625" style="1" bestFit="1" customWidth="1"/>
    <col min="8206" max="8448" width="9" style="1"/>
    <col min="8449" max="8449" width="4" style="1" customWidth="1"/>
    <col min="8450" max="8450" width="10.5" style="1" customWidth="1"/>
    <col min="8451" max="8451" width="11.75" style="1" customWidth="1"/>
    <col min="8452" max="8452" width="15.375" style="1" customWidth="1"/>
    <col min="8453" max="8454" width="14.125" style="1" bestFit="1" customWidth="1"/>
    <col min="8455" max="8455" width="12.625" style="1" bestFit="1" customWidth="1"/>
    <col min="8456" max="8456" width="10.875" style="1" customWidth="1"/>
    <col min="8457" max="8457" width="10.625" style="1" customWidth="1"/>
    <col min="8458" max="8458" width="11.875" style="1" customWidth="1"/>
    <col min="8459" max="8460" width="14.125" style="1" bestFit="1" customWidth="1"/>
    <col min="8461" max="8461" width="12.625" style="1" bestFit="1" customWidth="1"/>
    <col min="8462" max="8704" width="9" style="1"/>
    <col min="8705" max="8705" width="4" style="1" customWidth="1"/>
    <col min="8706" max="8706" width="10.5" style="1" customWidth="1"/>
    <col min="8707" max="8707" width="11.75" style="1" customWidth="1"/>
    <col min="8708" max="8708" width="15.375" style="1" customWidth="1"/>
    <col min="8709" max="8710" width="14.125" style="1" bestFit="1" customWidth="1"/>
    <col min="8711" max="8711" width="12.625" style="1" bestFit="1" customWidth="1"/>
    <col min="8712" max="8712" width="10.875" style="1" customWidth="1"/>
    <col min="8713" max="8713" width="10.625" style="1" customWidth="1"/>
    <col min="8714" max="8714" width="11.875" style="1" customWidth="1"/>
    <col min="8715" max="8716" width="14.125" style="1" bestFit="1" customWidth="1"/>
    <col min="8717" max="8717" width="12.625" style="1" bestFit="1" customWidth="1"/>
    <col min="8718" max="8960" width="9" style="1"/>
    <col min="8961" max="8961" width="4" style="1" customWidth="1"/>
    <col min="8962" max="8962" width="10.5" style="1" customWidth="1"/>
    <col min="8963" max="8963" width="11.75" style="1" customWidth="1"/>
    <col min="8964" max="8964" width="15.375" style="1" customWidth="1"/>
    <col min="8965" max="8966" width="14.125" style="1" bestFit="1" customWidth="1"/>
    <col min="8967" max="8967" width="12.625" style="1" bestFit="1" customWidth="1"/>
    <col min="8968" max="8968" width="10.875" style="1" customWidth="1"/>
    <col min="8969" max="8969" width="10.625" style="1" customWidth="1"/>
    <col min="8970" max="8970" width="11.875" style="1" customWidth="1"/>
    <col min="8971" max="8972" width="14.125" style="1" bestFit="1" customWidth="1"/>
    <col min="8973" max="8973" width="12.625" style="1" bestFit="1" customWidth="1"/>
    <col min="8974" max="9216" width="9" style="1"/>
    <col min="9217" max="9217" width="4" style="1" customWidth="1"/>
    <col min="9218" max="9218" width="10.5" style="1" customWidth="1"/>
    <col min="9219" max="9219" width="11.75" style="1" customWidth="1"/>
    <col min="9220" max="9220" width="15.375" style="1" customWidth="1"/>
    <col min="9221" max="9222" width="14.125" style="1" bestFit="1" customWidth="1"/>
    <col min="9223" max="9223" width="12.625" style="1" bestFit="1" customWidth="1"/>
    <col min="9224" max="9224" width="10.875" style="1" customWidth="1"/>
    <col min="9225" max="9225" width="10.625" style="1" customWidth="1"/>
    <col min="9226" max="9226" width="11.875" style="1" customWidth="1"/>
    <col min="9227" max="9228" width="14.125" style="1" bestFit="1" customWidth="1"/>
    <col min="9229" max="9229" width="12.625" style="1" bestFit="1" customWidth="1"/>
    <col min="9230" max="9472" width="9" style="1"/>
    <col min="9473" max="9473" width="4" style="1" customWidth="1"/>
    <col min="9474" max="9474" width="10.5" style="1" customWidth="1"/>
    <col min="9475" max="9475" width="11.75" style="1" customWidth="1"/>
    <col min="9476" max="9476" width="15.375" style="1" customWidth="1"/>
    <col min="9477" max="9478" width="14.125" style="1" bestFit="1" customWidth="1"/>
    <col min="9479" max="9479" width="12.625" style="1" bestFit="1" customWidth="1"/>
    <col min="9480" max="9480" width="10.875" style="1" customWidth="1"/>
    <col min="9481" max="9481" width="10.625" style="1" customWidth="1"/>
    <col min="9482" max="9482" width="11.875" style="1" customWidth="1"/>
    <col min="9483" max="9484" width="14.125" style="1" bestFit="1" customWidth="1"/>
    <col min="9485" max="9485" width="12.625" style="1" bestFit="1" customWidth="1"/>
    <col min="9486" max="9728" width="9" style="1"/>
    <col min="9729" max="9729" width="4" style="1" customWidth="1"/>
    <col min="9730" max="9730" width="10.5" style="1" customWidth="1"/>
    <col min="9731" max="9731" width="11.75" style="1" customWidth="1"/>
    <col min="9732" max="9732" width="15.375" style="1" customWidth="1"/>
    <col min="9733" max="9734" width="14.125" style="1" bestFit="1" customWidth="1"/>
    <col min="9735" max="9735" width="12.625" style="1" bestFit="1" customWidth="1"/>
    <col min="9736" max="9736" width="10.875" style="1" customWidth="1"/>
    <col min="9737" max="9737" width="10.625" style="1" customWidth="1"/>
    <col min="9738" max="9738" width="11.875" style="1" customWidth="1"/>
    <col min="9739" max="9740" width="14.125" style="1" bestFit="1" customWidth="1"/>
    <col min="9741" max="9741" width="12.625" style="1" bestFit="1" customWidth="1"/>
    <col min="9742" max="9984" width="9" style="1"/>
    <col min="9985" max="9985" width="4" style="1" customWidth="1"/>
    <col min="9986" max="9986" width="10.5" style="1" customWidth="1"/>
    <col min="9987" max="9987" width="11.75" style="1" customWidth="1"/>
    <col min="9988" max="9988" width="15.375" style="1" customWidth="1"/>
    <col min="9989" max="9990" width="14.125" style="1" bestFit="1" customWidth="1"/>
    <col min="9991" max="9991" width="12.625" style="1" bestFit="1" customWidth="1"/>
    <col min="9992" max="9992" width="10.875" style="1" customWidth="1"/>
    <col min="9993" max="9993" width="10.625" style="1" customWidth="1"/>
    <col min="9994" max="9994" width="11.875" style="1" customWidth="1"/>
    <col min="9995" max="9996" width="14.125" style="1" bestFit="1" customWidth="1"/>
    <col min="9997" max="9997" width="12.625" style="1" bestFit="1" customWidth="1"/>
    <col min="9998" max="10240" width="9" style="1"/>
    <col min="10241" max="10241" width="4" style="1" customWidth="1"/>
    <col min="10242" max="10242" width="10.5" style="1" customWidth="1"/>
    <col min="10243" max="10243" width="11.75" style="1" customWidth="1"/>
    <col min="10244" max="10244" width="15.375" style="1" customWidth="1"/>
    <col min="10245" max="10246" width="14.125" style="1" bestFit="1" customWidth="1"/>
    <col min="10247" max="10247" width="12.625" style="1" bestFit="1" customWidth="1"/>
    <col min="10248" max="10248" width="10.875" style="1" customWidth="1"/>
    <col min="10249" max="10249" width="10.625" style="1" customWidth="1"/>
    <col min="10250" max="10250" width="11.875" style="1" customWidth="1"/>
    <col min="10251" max="10252" width="14.125" style="1" bestFit="1" customWidth="1"/>
    <col min="10253" max="10253" width="12.625" style="1" bestFit="1" customWidth="1"/>
    <col min="10254" max="10496" width="9" style="1"/>
    <col min="10497" max="10497" width="4" style="1" customWidth="1"/>
    <col min="10498" max="10498" width="10.5" style="1" customWidth="1"/>
    <col min="10499" max="10499" width="11.75" style="1" customWidth="1"/>
    <col min="10500" max="10500" width="15.375" style="1" customWidth="1"/>
    <col min="10501" max="10502" width="14.125" style="1" bestFit="1" customWidth="1"/>
    <col min="10503" max="10503" width="12.625" style="1" bestFit="1" customWidth="1"/>
    <col min="10504" max="10504" width="10.875" style="1" customWidth="1"/>
    <col min="10505" max="10505" width="10.625" style="1" customWidth="1"/>
    <col min="10506" max="10506" width="11.875" style="1" customWidth="1"/>
    <col min="10507" max="10508" width="14.125" style="1" bestFit="1" customWidth="1"/>
    <col min="10509" max="10509" width="12.625" style="1" bestFit="1" customWidth="1"/>
    <col min="10510" max="10752" width="9" style="1"/>
    <col min="10753" max="10753" width="4" style="1" customWidth="1"/>
    <col min="10754" max="10754" width="10.5" style="1" customWidth="1"/>
    <col min="10755" max="10755" width="11.75" style="1" customWidth="1"/>
    <col min="10756" max="10756" width="15.375" style="1" customWidth="1"/>
    <col min="10757" max="10758" width="14.125" style="1" bestFit="1" customWidth="1"/>
    <col min="10759" max="10759" width="12.625" style="1" bestFit="1" customWidth="1"/>
    <col min="10760" max="10760" width="10.875" style="1" customWidth="1"/>
    <col min="10761" max="10761" width="10.625" style="1" customWidth="1"/>
    <col min="10762" max="10762" width="11.875" style="1" customWidth="1"/>
    <col min="10763" max="10764" width="14.125" style="1" bestFit="1" customWidth="1"/>
    <col min="10765" max="10765" width="12.625" style="1" bestFit="1" customWidth="1"/>
    <col min="10766" max="11008" width="9" style="1"/>
    <col min="11009" max="11009" width="4" style="1" customWidth="1"/>
    <col min="11010" max="11010" width="10.5" style="1" customWidth="1"/>
    <col min="11011" max="11011" width="11.75" style="1" customWidth="1"/>
    <col min="11012" max="11012" width="15.375" style="1" customWidth="1"/>
    <col min="11013" max="11014" width="14.125" style="1" bestFit="1" customWidth="1"/>
    <col min="11015" max="11015" width="12.625" style="1" bestFit="1" customWidth="1"/>
    <col min="11016" max="11016" width="10.875" style="1" customWidth="1"/>
    <col min="11017" max="11017" width="10.625" style="1" customWidth="1"/>
    <col min="11018" max="11018" width="11.875" style="1" customWidth="1"/>
    <col min="11019" max="11020" width="14.125" style="1" bestFit="1" customWidth="1"/>
    <col min="11021" max="11021" width="12.625" style="1" bestFit="1" customWidth="1"/>
    <col min="11022" max="11264" width="9" style="1"/>
    <col min="11265" max="11265" width="4" style="1" customWidth="1"/>
    <col min="11266" max="11266" width="10.5" style="1" customWidth="1"/>
    <col min="11267" max="11267" width="11.75" style="1" customWidth="1"/>
    <col min="11268" max="11268" width="15.375" style="1" customWidth="1"/>
    <col min="11269" max="11270" width="14.125" style="1" bestFit="1" customWidth="1"/>
    <col min="11271" max="11271" width="12.625" style="1" bestFit="1" customWidth="1"/>
    <col min="11272" max="11272" width="10.875" style="1" customWidth="1"/>
    <col min="11273" max="11273" width="10.625" style="1" customWidth="1"/>
    <col min="11274" max="11274" width="11.875" style="1" customWidth="1"/>
    <col min="11275" max="11276" width="14.125" style="1" bestFit="1" customWidth="1"/>
    <col min="11277" max="11277" width="12.625" style="1" bestFit="1" customWidth="1"/>
    <col min="11278" max="11520" width="9" style="1"/>
    <col min="11521" max="11521" width="4" style="1" customWidth="1"/>
    <col min="11522" max="11522" width="10.5" style="1" customWidth="1"/>
    <col min="11523" max="11523" width="11.75" style="1" customWidth="1"/>
    <col min="11524" max="11524" width="15.375" style="1" customWidth="1"/>
    <col min="11525" max="11526" width="14.125" style="1" bestFit="1" customWidth="1"/>
    <col min="11527" max="11527" width="12.625" style="1" bestFit="1" customWidth="1"/>
    <col min="11528" max="11528" width="10.875" style="1" customWidth="1"/>
    <col min="11529" max="11529" width="10.625" style="1" customWidth="1"/>
    <col min="11530" max="11530" width="11.875" style="1" customWidth="1"/>
    <col min="11531" max="11532" width="14.125" style="1" bestFit="1" customWidth="1"/>
    <col min="11533" max="11533" width="12.625" style="1" bestFit="1" customWidth="1"/>
    <col min="11534" max="11776" width="9" style="1"/>
    <col min="11777" max="11777" width="4" style="1" customWidth="1"/>
    <col min="11778" max="11778" width="10.5" style="1" customWidth="1"/>
    <col min="11779" max="11779" width="11.75" style="1" customWidth="1"/>
    <col min="11780" max="11780" width="15.375" style="1" customWidth="1"/>
    <col min="11781" max="11782" width="14.125" style="1" bestFit="1" customWidth="1"/>
    <col min="11783" max="11783" width="12.625" style="1" bestFit="1" customWidth="1"/>
    <col min="11784" max="11784" width="10.875" style="1" customWidth="1"/>
    <col min="11785" max="11785" width="10.625" style="1" customWidth="1"/>
    <col min="11786" max="11786" width="11.875" style="1" customWidth="1"/>
    <col min="11787" max="11788" width="14.125" style="1" bestFit="1" customWidth="1"/>
    <col min="11789" max="11789" width="12.625" style="1" bestFit="1" customWidth="1"/>
    <col min="11790" max="12032" width="9" style="1"/>
    <col min="12033" max="12033" width="4" style="1" customWidth="1"/>
    <col min="12034" max="12034" width="10.5" style="1" customWidth="1"/>
    <col min="12035" max="12035" width="11.75" style="1" customWidth="1"/>
    <col min="12036" max="12036" width="15.375" style="1" customWidth="1"/>
    <col min="12037" max="12038" width="14.125" style="1" bestFit="1" customWidth="1"/>
    <col min="12039" max="12039" width="12.625" style="1" bestFit="1" customWidth="1"/>
    <col min="12040" max="12040" width="10.875" style="1" customWidth="1"/>
    <col min="12041" max="12041" width="10.625" style="1" customWidth="1"/>
    <col min="12042" max="12042" width="11.875" style="1" customWidth="1"/>
    <col min="12043" max="12044" width="14.125" style="1" bestFit="1" customWidth="1"/>
    <col min="12045" max="12045" width="12.625" style="1" bestFit="1" customWidth="1"/>
    <col min="12046" max="12288" width="9" style="1"/>
    <col min="12289" max="12289" width="4" style="1" customWidth="1"/>
    <col min="12290" max="12290" width="10.5" style="1" customWidth="1"/>
    <col min="12291" max="12291" width="11.75" style="1" customWidth="1"/>
    <col min="12292" max="12292" width="15.375" style="1" customWidth="1"/>
    <col min="12293" max="12294" width="14.125" style="1" bestFit="1" customWidth="1"/>
    <col min="12295" max="12295" width="12.625" style="1" bestFit="1" customWidth="1"/>
    <col min="12296" max="12296" width="10.875" style="1" customWidth="1"/>
    <col min="12297" max="12297" width="10.625" style="1" customWidth="1"/>
    <col min="12298" max="12298" width="11.875" style="1" customWidth="1"/>
    <col min="12299" max="12300" width="14.125" style="1" bestFit="1" customWidth="1"/>
    <col min="12301" max="12301" width="12.625" style="1" bestFit="1" customWidth="1"/>
    <col min="12302" max="12544" width="9" style="1"/>
    <col min="12545" max="12545" width="4" style="1" customWidth="1"/>
    <col min="12546" max="12546" width="10.5" style="1" customWidth="1"/>
    <col min="12547" max="12547" width="11.75" style="1" customWidth="1"/>
    <col min="12548" max="12548" width="15.375" style="1" customWidth="1"/>
    <col min="12549" max="12550" width="14.125" style="1" bestFit="1" customWidth="1"/>
    <col min="12551" max="12551" width="12.625" style="1" bestFit="1" customWidth="1"/>
    <col min="12552" max="12552" width="10.875" style="1" customWidth="1"/>
    <col min="12553" max="12553" width="10.625" style="1" customWidth="1"/>
    <col min="12554" max="12554" width="11.875" style="1" customWidth="1"/>
    <col min="12555" max="12556" width="14.125" style="1" bestFit="1" customWidth="1"/>
    <col min="12557" max="12557" width="12.625" style="1" bestFit="1" customWidth="1"/>
    <col min="12558" max="12800" width="9" style="1"/>
    <col min="12801" max="12801" width="4" style="1" customWidth="1"/>
    <col min="12802" max="12802" width="10.5" style="1" customWidth="1"/>
    <col min="12803" max="12803" width="11.75" style="1" customWidth="1"/>
    <col min="12804" max="12804" width="15.375" style="1" customWidth="1"/>
    <col min="12805" max="12806" width="14.125" style="1" bestFit="1" customWidth="1"/>
    <col min="12807" max="12807" width="12.625" style="1" bestFit="1" customWidth="1"/>
    <col min="12808" max="12808" width="10.875" style="1" customWidth="1"/>
    <col min="12809" max="12809" width="10.625" style="1" customWidth="1"/>
    <col min="12810" max="12810" width="11.875" style="1" customWidth="1"/>
    <col min="12811" max="12812" width="14.125" style="1" bestFit="1" customWidth="1"/>
    <col min="12813" max="12813" width="12.625" style="1" bestFit="1" customWidth="1"/>
    <col min="12814" max="13056" width="9" style="1"/>
    <col min="13057" max="13057" width="4" style="1" customWidth="1"/>
    <col min="13058" max="13058" width="10.5" style="1" customWidth="1"/>
    <col min="13059" max="13059" width="11.75" style="1" customWidth="1"/>
    <col min="13060" max="13060" width="15.375" style="1" customWidth="1"/>
    <col min="13061" max="13062" width="14.125" style="1" bestFit="1" customWidth="1"/>
    <col min="13063" max="13063" width="12.625" style="1" bestFit="1" customWidth="1"/>
    <col min="13064" max="13064" width="10.875" style="1" customWidth="1"/>
    <col min="13065" max="13065" width="10.625" style="1" customWidth="1"/>
    <col min="13066" max="13066" width="11.875" style="1" customWidth="1"/>
    <col min="13067" max="13068" width="14.125" style="1" bestFit="1" customWidth="1"/>
    <col min="13069" max="13069" width="12.625" style="1" bestFit="1" customWidth="1"/>
    <col min="13070" max="13312" width="9" style="1"/>
    <col min="13313" max="13313" width="4" style="1" customWidth="1"/>
    <col min="13314" max="13314" width="10.5" style="1" customWidth="1"/>
    <col min="13315" max="13315" width="11.75" style="1" customWidth="1"/>
    <col min="13316" max="13316" width="15.375" style="1" customWidth="1"/>
    <col min="13317" max="13318" width="14.125" style="1" bestFit="1" customWidth="1"/>
    <col min="13319" max="13319" width="12.625" style="1" bestFit="1" customWidth="1"/>
    <col min="13320" max="13320" width="10.875" style="1" customWidth="1"/>
    <col min="13321" max="13321" width="10.625" style="1" customWidth="1"/>
    <col min="13322" max="13322" width="11.875" style="1" customWidth="1"/>
    <col min="13323" max="13324" width="14.125" style="1" bestFit="1" customWidth="1"/>
    <col min="13325" max="13325" width="12.625" style="1" bestFit="1" customWidth="1"/>
    <col min="13326" max="13568" width="9" style="1"/>
    <col min="13569" max="13569" width="4" style="1" customWidth="1"/>
    <col min="13570" max="13570" width="10.5" style="1" customWidth="1"/>
    <col min="13571" max="13571" width="11.75" style="1" customWidth="1"/>
    <col min="13572" max="13572" width="15.375" style="1" customWidth="1"/>
    <col min="13573" max="13574" width="14.125" style="1" bestFit="1" customWidth="1"/>
    <col min="13575" max="13575" width="12.625" style="1" bestFit="1" customWidth="1"/>
    <col min="13576" max="13576" width="10.875" style="1" customWidth="1"/>
    <col min="13577" max="13577" width="10.625" style="1" customWidth="1"/>
    <col min="13578" max="13578" width="11.875" style="1" customWidth="1"/>
    <col min="13579" max="13580" width="14.125" style="1" bestFit="1" customWidth="1"/>
    <col min="13581" max="13581" width="12.625" style="1" bestFit="1" customWidth="1"/>
    <col min="13582" max="13824" width="9" style="1"/>
    <col min="13825" max="13825" width="4" style="1" customWidth="1"/>
    <col min="13826" max="13826" width="10.5" style="1" customWidth="1"/>
    <col min="13827" max="13827" width="11.75" style="1" customWidth="1"/>
    <col min="13828" max="13828" width="15.375" style="1" customWidth="1"/>
    <col min="13829" max="13830" width="14.125" style="1" bestFit="1" customWidth="1"/>
    <col min="13831" max="13831" width="12.625" style="1" bestFit="1" customWidth="1"/>
    <col min="13832" max="13832" width="10.875" style="1" customWidth="1"/>
    <col min="13833" max="13833" width="10.625" style="1" customWidth="1"/>
    <col min="13834" max="13834" width="11.875" style="1" customWidth="1"/>
    <col min="13835" max="13836" width="14.125" style="1" bestFit="1" customWidth="1"/>
    <col min="13837" max="13837" width="12.625" style="1" bestFit="1" customWidth="1"/>
    <col min="13838" max="14080" width="9" style="1"/>
    <col min="14081" max="14081" width="4" style="1" customWidth="1"/>
    <col min="14082" max="14082" width="10.5" style="1" customWidth="1"/>
    <col min="14083" max="14083" width="11.75" style="1" customWidth="1"/>
    <col min="14084" max="14084" width="15.375" style="1" customWidth="1"/>
    <col min="14085" max="14086" width="14.125" style="1" bestFit="1" customWidth="1"/>
    <col min="14087" max="14087" width="12.625" style="1" bestFit="1" customWidth="1"/>
    <col min="14088" max="14088" width="10.875" style="1" customWidth="1"/>
    <col min="14089" max="14089" width="10.625" style="1" customWidth="1"/>
    <col min="14090" max="14090" width="11.875" style="1" customWidth="1"/>
    <col min="14091" max="14092" width="14.125" style="1" bestFit="1" customWidth="1"/>
    <col min="14093" max="14093" width="12.625" style="1" bestFit="1" customWidth="1"/>
    <col min="14094" max="14336" width="9" style="1"/>
    <col min="14337" max="14337" width="4" style="1" customWidth="1"/>
    <col min="14338" max="14338" width="10.5" style="1" customWidth="1"/>
    <col min="14339" max="14339" width="11.75" style="1" customWidth="1"/>
    <col min="14340" max="14340" width="15.375" style="1" customWidth="1"/>
    <col min="14341" max="14342" width="14.125" style="1" bestFit="1" customWidth="1"/>
    <col min="14343" max="14343" width="12.625" style="1" bestFit="1" customWidth="1"/>
    <col min="14344" max="14344" width="10.875" style="1" customWidth="1"/>
    <col min="14345" max="14345" width="10.625" style="1" customWidth="1"/>
    <col min="14346" max="14346" width="11.875" style="1" customWidth="1"/>
    <col min="14347" max="14348" width="14.125" style="1" bestFit="1" customWidth="1"/>
    <col min="14349" max="14349" width="12.625" style="1" bestFit="1" customWidth="1"/>
    <col min="14350" max="14592" width="9" style="1"/>
    <col min="14593" max="14593" width="4" style="1" customWidth="1"/>
    <col min="14594" max="14594" width="10.5" style="1" customWidth="1"/>
    <col min="14595" max="14595" width="11.75" style="1" customWidth="1"/>
    <col min="14596" max="14596" width="15.375" style="1" customWidth="1"/>
    <col min="14597" max="14598" width="14.125" style="1" bestFit="1" customWidth="1"/>
    <col min="14599" max="14599" width="12.625" style="1" bestFit="1" customWidth="1"/>
    <col min="14600" max="14600" width="10.875" style="1" customWidth="1"/>
    <col min="14601" max="14601" width="10.625" style="1" customWidth="1"/>
    <col min="14602" max="14602" width="11.875" style="1" customWidth="1"/>
    <col min="14603" max="14604" width="14.125" style="1" bestFit="1" customWidth="1"/>
    <col min="14605" max="14605" width="12.625" style="1" bestFit="1" customWidth="1"/>
    <col min="14606" max="14848" width="9" style="1"/>
    <col min="14849" max="14849" width="4" style="1" customWidth="1"/>
    <col min="14850" max="14850" width="10.5" style="1" customWidth="1"/>
    <col min="14851" max="14851" width="11.75" style="1" customWidth="1"/>
    <col min="14852" max="14852" width="15.375" style="1" customWidth="1"/>
    <col min="14853" max="14854" width="14.125" style="1" bestFit="1" customWidth="1"/>
    <col min="14855" max="14855" width="12.625" style="1" bestFit="1" customWidth="1"/>
    <col min="14856" max="14856" width="10.875" style="1" customWidth="1"/>
    <col min="14857" max="14857" width="10.625" style="1" customWidth="1"/>
    <col min="14858" max="14858" width="11.875" style="1" customWidth="1"/>
    <col min="14859" max="14860" width="14.125" style="1" bestFit="1" customWidth="1"/>
    <col min="14861" max="14861" width="12.625" style="1" bestFit="1" customWidth="1"/>
    <col min="14862" max="15104" width="9" style="1"/>
    <col min="15105" max="15105" width="4" style="1" customWidth="1"/>
    <col min="15106" max="15106" width="10.5" style="1" customWidth="1"/>
    <col min="15107" max="15107" width="11.75" style="1" customWidth="1"/>
    <col min="15108" max="15108" width="15.375" style="1" customWidth="1"/>
    <col min="15109" max="15110" width="14.125" style="1" bestFit="1" customWidth="1"/>
    <col min="15111" max="15111" width="12.625" style="1" bestFit="1" customWidth="1"/>
    <col min="15112" max="15112" width="10.875" style="1" customWidth="1"/>
    <col min="15113" max="15113" width="10.625" style="1" customWidth="1"/>
    <col min="15114" max="15114" width="11.875" style="1" customWidth="1"/>
    <col min="15115" max="15116" width="14.125" style="1" bestFit="1" customWidth="1"/>
    <col min="15117" max="15117" width="12.625" style="1" bestFit="1" customWidth="1"/>
    <col min="15118" max="15360" width="9" style="1"/>
    <col min="15361" max="15361" width="4" style="1" customWidth="1"/>
    <col min="15362" max="15362" width="10.5" style="1" customWidth="1"/>
    <col min="15363" max="15363" width="11.75" style="1" customWidth="1"/>
    <col min="15364" max="15364" width="15.375" style="1" customWidth="1"/>
    <col min="15365" max="15366" width="14.125" style="1" bestFit="1" customWidth="1"/>
    <col min="15367" max="15367" width="12.625" style="1" bestFit="1" customWidth="1"/>
    <col min="15368" max="15368" width="10.875" style="1" customWidth="1"/>
    <col min="15369" max="15369" width="10.625" style="1" customWidth="1"/>
    <col min="15370" max="15370" width="11.875" style="1" customWidth="1"/>
    <col min="15371" max="15372" width="14.125" style="1" bestFit="1" customWidth="1"/>
    <col min="15373" max="15373" width="12.625" style="1" bestFit="1" customWidth="1"/>
    <col min="15374" max="15616" width="9" style="1"/>
    <col min="15617" max="15617" width="4" style="1" customWidth="1"/>
    <col min="15618" max="15618" width="10.5" style="1" customWidth="1"/>
    <col min="15619" max="15619" width="11.75" style="1" customWidth="1"/>
    <col min="15620" max="15620" width="15.375" style="1" customWidth="1"/>
    <col min="15621" max="15622" width="14.125" style="1" bestFit="1" customWidth="1"/>
    <col min="15623" max="15623" width="12.625" style="1" bestFit="1" customWidth="1"/>
    <col min="15624" max="15624" width="10.875" style="1" customWidth="1"/>
    <col min="15625" max="15625" width="10.625" style="1" customWidth="1"/>
    <col min="15626" max="15626" width="11.875" style="1" customWidth="1"/>
    <col min="15627" max="15628" width="14.125" style="1" bestFit="1" customWidth="1"/>
    <col min="15629" max="15629" width="12.625" style="1" bestFit="1" customWidth="1"/>
    <col min="15630" max="15872" width="9" style="1"/>
    <col min="15873" max="15873" width="4" style="1" customWidth="1"/>
    <col min="15874" max="15874" width="10.5" style="1" customWidth="1"/>
    <col min="15875" max="15875" width="11.75" style="1" customWidth="1"/>
    <col min="15876" max="15876" width="15.375" style="1" customWidth="1"/>
    <col min="15877" max="15878" width="14.125" style="1" bestFit="1" customWidth="1"/>
    <col min="15879" max="15879" width="12.625" style="1" bestFit="1" customWidth="1"/>
    <col min="15880" max="15880" width="10.875" style="1" customWidth="1"/>
    <col min="15881" max="15881" width="10.625" style="1" customWidth="1"/>
    <col min="15882" max="15882" width="11.875" style="1" customWidth="1"/>
    <col min="15883" max="15884" width="14.125" style="1" bestFit="1" customWidth="1"/>
    <col min="15885" max="15885" width="12.625" style="1" bestFit="1" customWidth="1"/>
    <col min="15886" max="16128" width="9" style="1"/>
    <col min="16129" max="16129" width="4" style="1" customWidth="1"/>
    <col min="16130" max="16130" width="10.5" style="1" customWidth="1"/>
    <col min="16131" max="16131" width="11.75" style="1" customWidth="1"/>
    <col min="16132" max="16132" width="15.375" style="1" customWidth="1"/>
    <col min="16133" max="16134" width="14.125" style="1" bestFit="1" customWidth="1"/>
    <col min="16135" max="16135" width="12.625" style="1" bestFit="1" customWidth="1"/>
    <col min="16136" max="16136" width="10.875" style="1" customWidth="1"/>
    <col min="16137" max="16137" width="10.625" style="1" customWidth="1"/>
    <col min="16138" max="16138" width="11.875" style="1" customWidth="1"/>
    <col min="16139" max="16140" width="14.125" style="1" bestFit="1" customWidth="1"/>
    <col min="16141" max="16141" width="12.625" style="1" bestFit="1" customWidth="1"/>
    <col min="16142" max="16384" width="9" style="1"/>
  </cols>
  <sheetData>
    <row r="1" spans="1:15" ht="18" customHeight="1">
      <c r="A1" s="647" t="s">
        <v>214</v>
      </c>
      <c r="B1" s="647"/>
    </row>
    <row r="2" spans="1:15" ht="18" customHeight="1">
      <c r="A2" s="648" t="s">
        <v>215</v>
      </c>
      <c r="B2" s="648"/>
      <c r="C2" s="649"/>
      <c r="D2" s="649"/>
      <c r="E2" s="2"/>
      <c r="F2" s="2"/>
    </row>
    <row r="3" spans="1:15" ht="28.5" customHeight="1">
      <c r="A3" s="650" t="s">
        <v>216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</row>
    <row r="4" spans="1:15" ht="30">
      <c r="A4" s="651" t="s">
        <v>3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</row>
    <row r="5" spans="1:15" ht="19.5">
      <c r="A5" s="652" t="s">
        <v>4</v>
      </c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</row>
    <row r="6" spans="1:15" ht="24" customHeight="1" thickBot="1">
      <c r="A6" s="637" t="s">
        <v>5</v>
      </c>
      <c r="B6" s="637"/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</row>
    <row r="7" spans="1:15" s="30" customFormat="1" ht="20.25" customHeight="1">
      <c r="A7" s="728" t="s">
        <v>6</v>
      </c>
      <c r="B7" s="639" t="s">
        <v>7</v>
      </c>
      <c r="C7" s="640"/>
      <c r="D7" s="640"/>
      <c r="E7" s="640"/>
      <c r="F7" s="640"/>
      <c r="G7" s="641"/>
      <c r="H7" s="640" t="s">
        <v>8</v>
      </c>
      <c r="I7" s="640"/>
      <c r="J7" s="640"/>
      <c r="K7" s="640"/>
      <c r="L7" s="640"/>
      <c r="M7" s="641"/>
    </row>
    <row r="8" spans="1:15" s="30" customFormat="1" ht="20.25" customHeight="1">
      <c r="A8" s="729"/>
      <c r="B8" s="642" t="s">
        <v>9</v>
      </c>
      <c r="C8" s="643"/>
      <c r="D8" s="644"/>
      <c r="E8" s="621" t="s">
        <v>217</v>
      </c>
      <c r="F8" s="621" t="s">
        <v>218</v>
      </c>
      <c r="G8" s="623" t="s">
        <v>219</v>
      </c>
      <c r="H8" s="643" t="s">
        <v>9</v>
      </c>
      <c r="I8" s="643"/>
      <c r="J8" s="644"/>
      <c r="K8" s="621" t="s">
        <v>217</v>
      </c>
      <c r="L8" s="621" t="s">
        <v>218</v>
      </c>
      <c r="M8" s="623" t="s">
        <v>219</v>
      </c>
      <c r="O8" s="213"/>
    </row>
    <row r="9" spans="1:15" s="30" customFormat="1" ht="20.25" customHeight="1" thickBot="1">
      <c r="A9" s="767"/>
      <c r="B9" s="4" t="s">
        <v>13</v>
      </c>
      <c r="C9" s="5" t="s">
        <v>14</v>
      </c>
      <c r="D9" s="5" t="s">
        <v>15</v>
      </c>
      <c r="E9" s="622"/>
      <c r="F9" s="622"/>
      <c r="G9" s="624"/>
      <c r="H9" s="214" t="s">
        <v>13</v>
      </c>
      <c r="I9" s="5" t="s">
        <v>14</v>
      </c>
      <c r="J9" s="5" t="s">
        <v>15</v>
      </c>
      <c r="K9" s="622"/>
      <c r="L9" s="622"/>
      <c r="M9" s="624"/>
    </row>
    <row r="10" spans="1:15" s="30" customFormat="1" ht="18.75" customHeight="1">
      <c r="A10" s="760" t="s">
        <v>220</v>
      </c>
      <c r="B10" s="627" t="s">
        <v>17</v>
      </c>
      <c r="C10" s="8" t="s">
        <v>18</v>
      </c>
      <c r="D10" s="8" t="s">
        <v>19</v>
      </c>
      <c r="E10" s="761">
        <v>37450000</v>
      </c>
      <c r="F10" s="755">
        <v>39198684</v>
      </c>
      <c r="G10" s="762">
        <f>E10-F10</f>
        <v>-1748684</v>
      </c>
      <c r="H10" s="764" t="s">
        <v>20</v>
      </c>
      <c r="I10" s="766" t="s">
        <v>21</v>
      </c>
      <c r="J10" s="766" t="s">
        <v>22</v>
      </c>
      <c r="K10" s="215"/>
      <c r="L10" s="755">
        <v>3095169</v>
      </c>
      <c r="M10" s="757">
        <f>K11-L10</f>
        <v>-3095169</v>
      </c>
    </row>
    <row r="11" spans="1:15" s="30" customFormat="1" ht="18.75" customHeight="1">
      <c r="A11" s="729"/>
      <c r="B11" s="628"/>
      <c r="C11" s="15"/>
      <c r="D11" s="9" t="s">
        <v>23</v>
      </c>
      <c r="E11" s="598"/>
      <c r="F11" s="756"/>
      <c r="G11" s="763"/>
      <c r="H11" s="765"/>
      <c r="I11" s="585"/>
      <c r="J11" s="585"/>
      <c r="K11" s="95"/>
      <c r="L11" s="756"/>
      <c r="M11" s="758"/>
    </row>
    <row r="12" spans="1:15" s="30" customFormat="1" ht="18.75" customHeight="1">
      <c r="A12" s="729"/>
      <c r="B12" s="628"/>
      <c r="C12" s="10" t="s">
        <v>221</v>
      </c>
      <c r="D12" s="10" t="s">
        <v>25</v>
      </c>
      <c r="E12" s="724">
        <v>240000</v>
      </c>
      <c r="F12" s="759"/>
      <c r="G12" s="726">
        <f>E12-F12</f>
        <v>240000</v>
      </c>
      <c r="H12" s="734" t="s">
        <v>26</v>
      </c>
      <c r="I12" s="576" t="s">
        <v>27</v>
      </c>
      <c r="J12" s="576" t="s">
        <v>84</v>
      </c>
      <c r="K12" s="78"/>
      <c r="L12" s="216"/>
      <c r="M12" s="748"/>
    </row>
    <row r="13" spans="1:15" s="30" customFormat="1" ht="36.6" customHeight="1">
      <c r="A13" s="729"/>
      <c r="B13" s="628"/>
      <c r="C13" s="15"/>
      <c r="D13" s="15" t="s">
        <v>29</v>
      </c>
      <c r="E13" s="725"/>
      <c r="F13" s="747"/>
      <c r="G13" s="737"/>
      <c r="H13" s="735"/>
      <c r="I13" s="577"/>
      <c r="J13" s="597"/>
      <c r="K13" s="62"/>
      <c r="L13" s="217"/>
      <c r="M13" s="749"/>
    </row>
    <row r="14" spans="1:15" s="30" customFormat="1" ht="36.6" customHeight="1">
      <c r="A14" s="729"/>
      <c r="B14" s="629"/>
      <c r="C14" s="10" t="s">
        <v>31</v>
      </c>
      <c r="D14" s="16" t="s">
        <v>32</v>
      </c>
      <c r="E14" s="84">
        <v>800000</v>
      </c>
      <c r="F14" s="218">
        <v>271280</v>
      </c>
      <c r="G14" s="219">
        <f>E14-F14</f>
        <v>528720</v>
      </c>
      <c r="H14" s="220" t="s">
        <v>148</v>
      </c>
      <c r="I14" s="94" t="s">
        <v>149</v>
      </c>
      <c r="J14" s="61" t="s">
        <v>222</v>
      </c>
      <c r="K14" s="62">
        <v>29600000</v>
      </c>
      <c r="L14" s="221">
        <v>29355000</v>
      </c>
      <c r="M14" s="222">
        <f>K14-L14</f>
        <v>245000</v>
      </c>
    </row>
    <row r="15" spans="1:15" s="30" customFormat="1" ht="18.75" customHeight="1">
      <c r="A15" s="729"/>
      <c r="B15" s="23" t="s">
        <v>36</v>
      </c>
      <c r="C15" s="10" t="s">
        <v>37</v>
      </c>
      <c r="D15" s="16" t="s">
        <v>38</v>
      </c>
      <c r="E15" s="33"/>
      <c r="F15" s="218"/>
      <c r="G15" s="223"/>
      <c r="H15" s="224" t="s">
        <v>223</v>
      </c>
      <c r="I15" s="77" t="s">
        <v>224</v>
      </c>
      <c r="J15" s="77" t="s">
        <v>225</v>
      </c>
      <c r="K15" s="78"/>
      <c r="L15" s="225"/>
      <c r="M15" s="226"/>
    </row>
    <row r="16" spans="1:15" s="30" customFormat="1" ht="18.75" customHeight="1">
      <c r="A16" s="729"/>
      <c r="B16" s="26" t="s">
        <v>42</v>
      </c>
      <c r="C16" s="27" t="s">
        <v>43</v>
      </c>
      <c r="D16" s="28" t="s">
        <v>44</v>
      </c>
      <c r="E16" s="33">
        <v>16510000</v>
      </c>
      <c r="F16" s="218">
        <v>4663990</v>
      </c>
      <c r="G16" s="227">
        <f>E16-F16</f>
        <v>11846010</v>
      </c>
      <c r="H16" s="734" t="s">
        <v>226</v>
      </c>
      <c r="I16" s="576" t="s">
        <v>227</v>
      </c>
      <c r="J16" s="228" t="s">
        <v>47</v>
      </c>
      <c r="K16" s="229">
        <v>10000000</v>
      </c>
      <c r="L16" s="225">
        <v>26000000</v>
      </c>
      <c r="M16" s="226">
        <f>K16-L16</f>
        <v>-16000000</v>
      </c>
    </row>
    <row r="17" spans="1:16" s="30" customFormat="1" ht="18.75" customHeight="1">
      <c r="A17" s="729"/>
      <c r="B17" s="26" t="s">
        <v>48</v>
      </c>
      <c r="C17" s="27" t="s">
        <v>49</v>
      </c>
      <c r="D17" s="27" t="s">
        <v>50</v>
      </c>
      <c r="E17" s="93"/>
      <c r="F17" s="218">
        <v>12000000</v>
      </c>
      <c r="G17" s="230"/>
      <c r="H17" s="735"/>
      <c r="I17" s="577"/>
      <c r="J17" s="194" t="s">
        <v>51</v>
      </c>
      <c r="K17" s="229"/>
      <c r="L17" s="225"/>
      <c r="M17" s="226"/>
    </row>
    <row r="18" spans="1:16" s="30" customFormat="1" ht="18.75" customHeight="1">
      <c r="A18" s="729"/>
      <c r="B18" s="26" t="s">
        <v>102</v>
      </c>
      <c r="C18" s="27" t="s">
        <v>228</v>
      </c>
      <c r="D18" s="32" t="s">
        <v>104</v>
      </c>
      <c r="E18" s="33"/>
      <c r="F18" s="218"/>
      <c r="G18" s="231"/>
      <c r="H18" s="753" t="s">
        <v>229</v>
      </c>
      <c r="I18" s="584" t="s">
        <v>230</v>
      </c>
      <c r="J18" s="584" t="s">
        <v>121</v>
      </c>
      <c r="K18" s="754">
        <v>10000000</v>
      </c>
      <c r="L18" s="746">
        <v>3350040</v>
      </c>
      <c r="M18" s="748">
        <f>K18-L18</f>
        <v>6649960</v>
      </c>
    </row>
    <row r="19" spans="1:16" s="30" customFormat="1" ht="18.75" customHeight="1">
      <c r="A19" s="729"/>
      <c r="B19" s="26" t="s">
        <v>57</v>
      </c>
      <c r="C19" s="27" t="s">
        <v>58</v>
      </c>
      <c r="D19" s="27" t="s">
        <v>58</v>
      </c>
      <c r="E19" s="68"/>
      <c r="F19" s="232">
        <v>3238420</v>
      </c>
      <c r="G19" s="233">
        <f>E19-F19</f>
        <v>-3238420</v>
      </c>
      <c r="H19" s="629"/>
      <c r="I19" s="597"/>
      <c r="J19" s="597"/>
      <c r="K19" s="579"/>
      <c r="L19" s="747"/>
      <c r="M19" s="749"/>
    </row>
    <row r="20" spans="1:16" s="30" customFormat="1" ht="37.15" customHeight="1">
      <c r="A20" s="729"/>
      <c r="B20" s="23" t="s">
        <v>62</v>
      </c>
      <c r="C20" s="10" t="s">
        <v>63</v>
      </c>
      <c r="D20" s="10" t="s">
        <v>64</v>
      </c>
      <c r="E20" s="80"/>
      <c r="F20" s="234"/>
      <c r="G20" s="235"/>
      <c r="H20" s="750" t="s">
        <v>231</v>
      </c>
      <c r="I20" s="576" t="s">
        <v>232</v>
      </c>
      <c r="J20" s="149" t="s">
        <v>233</v>
      </c>
      <c r="K20" s="12">
        <v>5400000</v>
      </c>
      <c r="L20" s="225">
        <v>2994</v>
      </c>
      <c r="M20" s="236">
        <f>K20-L20</f>
        <v>5397006</v>
      </c>
    </row>
    <row r="21" spans="1:16" s="30" customFormat="1" ht="18.75" customHeight="1" thickBot="1">
      <c r="A21" s="729"/>
      <c r="B21" s="237" t="s">
        <v>185</v>
      </c>
      <c r="C21" s="238" t="s">
        <v>186</v>
      </c>
      <c r="D21" s="238" t="s">
        <v>234</v>
      </c>
      <c r="E21" s="239"/>
      <c r="F21" s="240">
        <v>6223829</v>
      </c>
      <c r="G21" s="241">
        <v>6223829</v>
      </c>
      <c r="H21" s="751"/>
      <c r="I21" s="713"/>
      <c r="J21" s="77" t="s">
        <v>235</v>
      </c>
      <c r="K21" s="95"/>
      <c r="L21" s="95">
        <v>3793000</v>
      </c>
      <c r="M21" s="242">
        <f>K21-L21</f>
        <v>-3793000</v>
      </c>
    </row>
    <row r="22" spans="1:16" s="30" customFormat="1" ht="18.75" customHeight="1" thickTop="1" thickBot="1">
      <c r="A22" s="243"/>
      <c r="B22" s="244" t="s">
        <v>79</v>
      </c>
      <c r="C22" s="245"/>
      <c r="D22" s="245"/>
      <c r="E22" s="246">
        <f>SUM(E10:E21)</f>
        <v>55000000</v>
      </c>
      <c r="F22" s="246">
        <f>SUM(F10:F21)</f>
        <v>65596203</v>
      </c>
      <c r="G22" s="247">
        <f t="shared" ref="G22:G27" si="0">E22-F22</f>
        <v>-10596203</v>
      </c>
      <c r="H22" s="248" t="s">
        <v>79</v>
      </c>
      <c r="I22" s="245"/>
      <c r="J22" s="245"/>
      <c r="K22" s="246">
        <f>SUM(K10:K21)</f>
        <v>55000000</v>
      </c>
      <c r="L22" s="246">
        <f>SUM(L10:L21)</f>
        <v>65596203</v>
      </c>
      <c r="M22" s="247">
        <f>SUM(M10:M21)</f>
        <v>-10596203</v>
      </c>
      <c r="P22" s="213"/>
    </row>
    <row r="23" spans="1:16" s="30" customFormat="1" ht="18.75" customHeight="1">
      <c r="A23" s="586" t="s">
        <v>80</v>
      </c>
      <c r="B23" s="588" t="s">
        <v>17</v>
      </c>
      <c r="C23" s="123" t="s">
        <v>18</v>
      </c>
      <c r="D23" s="123" t="s">
        <v>81</v>
      </c>
      <c r="E23" s="249">
        <f>730000000+640434120</f>
        <v>1370434120</v>
      </c>
      <c r="F23" s="249">
        <f>657633458+625861232</f>
        <v>1283494690</v>
      </c>
      <c r="G23" s="250">
        <f t="shared" si="0"/>
        <v>86939430</v>
      </c>
      <c r="H23" s="588" t="s">
        <v>82</v>
      </c>
      <c r="I23" s="752" t="s">
        <v>83</v>
      </c>
      <c r="J23" s="752" t="s">
        <v>187</v>
      </c>
      <c r="K23" s="742">
        <f>523614000+288400000</f>
        <v>812014000</v>
      </c>
      <c r="L23" s="742">
        <f>526413126+249088500</f>
        <v>775501626</v>
      </c>
      <c r="M23" s="743">
        <f>K23-L23</f>
        <v>36512374</v>
      </c>
      <c r="O23" s="213"/>
    </row>
    <row r="24" spans="1:16" s="30" customFormat="1" ht="18.75" customHeight="1">
      <c r="A24" s="587"/>
      <c r="B24" s="583"/>
      <c r="C24" s="64" t="s">
        <v>24</v>
      </c>
      <c r="D24" s="64" t="s">
        <v>85</v>
      </c>
      <c r="E24" s="251">
        <f>5000000+3000000</f>
        <v>8000000</v>
      </c>
      <c r="F24" s="251">
        <f>1662930+267560</f>
        <v>1930490</v>
      </c>
      <c r="G24" s="252">
        <f t="shared" si="0"/>
        <v>6069510</v>
      </c>
      <c r="H24" s="575"/>
      <c r="I24" s="577"/>
      <c r="J24" s="577"/>
      <c r="K24" s="725"/>
      <c r="L24" s="725"/>
      <c r="M24" s="727"/>
      <c r="O24" s="213"/>
    </row>
    <row r="25" spans="1:16" s="30" customFormat="1" ht="18.75" customHeight="1">
      <c r="A25" s="587"/>
      <c r="B25" s="589"/>
      <c r="C25" s="64" t="s">
        <v>31</v>
      </c>
      <c r="D25" s="64" t="s">
        <v>86</v>
      </c>
      <c r="E25" s="251">
        <f>208000000+97380000</f>
        <v>305380000</v>
      </c>
      <c r="F25" s="251">
        <f>134429118+80085208</f>
        <v>214514326</v>
      </c>
      <c r="G25" s="252">
        <f t="shared" si="0"/>
        <v>90865674</v>
      </c>
      <c r="H25" s="582" t="s">
        <v>87</v>
      </c>
      <c r="I25" s="584" t="s">
        <v>236</v>
      </c>
      <c r="J25" s="15" t="s">
        <v>89</v>
      </c>
      <c r="K25" s="253"/>
      <c r="L25" s="253"/>
      <c r="M25" s="254"/>
      <c r="O25" s="213"/>
    </row>
    <row r="26" spans="1:16" s="30" customFormat="1" ht="27">
      <c r="A26" s="587"/>
      <c r="B26" s="70" t="s">
        <v>90</v>
      </c>
      <c r="C26" s="64" t="s">
        <v>37</v>
      </c>
      <c r="D26" s="64" t="s">
        <v>91</v>
      </c>
      <c r="E26" s="251">
        <f>216000000+88980000</f>
        <v>304980000</v>
      </c>
      <c r="F26" s="251">
        <f>175381184+90260990</f>
        <v>265642174</v>
      </c>
      <c r="G26" s="252">
        <f t="shared" si="0"/>
        <v>39337826</v>
      </c>
      <c r="H26" s="583"/>
      <c r="I26" s="585"/>
      <c r="J26" s="71" t="s">
        <v>92</v>
      </c>
      <c r="K26" s="255">
        <f>796575000+755825210</f>
        <v>1552400210</v>
      </c>
      <c r="L26" s="255">
        <f>796575000+756127000</f>
        <v>1552702000</v>
      </c>
      <c r="M26" s="256">
        <f>K26-L26</f>
        <v>-301790</v>
      </c>
      <c r="O26" s="213"/>
    </row>
    <row r="27" spans="1:16" s="30" customFormat="1" ht="18.75" customHeight="1">
      <c r="A27" s="587"/>
      <c r="B27" s="574" t="s">
        <v>93</v>
      </c>
      <c r="C27" s="576" t="s">
        <v>94</v>
      </c>
      <c r="D27" s="576" t="s">
        <v>188</v>
      </c>
      <c r="E27" s="724">
        <f>873473060+563523880</f>
        <v>1436996940</v>
      </c>
      <c r="F27" s="724">
        <f>767961274+436012874</f>
        <v>1203974148</v>
      </c>
      <c r="G27" s="744">
        <f t="shared" si="0"/>
        <v>233022792</v>
      </c>
      <c r="H27" s="583"/>
      <c r="I27" s="585"/>
      <c r="J27" s="15" t="s">
        <v>95</v>
      </c>
      <c r="K27" s="253">
        <f>197520840+44298680</f>
        <v>241819520</v>
      </c>
      <c r="L27" s="253">
        <f>197840830+44717520</f>
        <v>242558350</v>
      </c>
      <c r="M27" s="256">
        <f>K27-L27</f>
        <v>-738830</v>
      </c>
      <c r="O27" s="213"/>
    </row>
    <row r="28" spans="1:16" s="30" customFormat="1" ht="18.75" customHeight="1">
      <c r="A28" s="587"/>
      <c r="B28" s="589"/>
      <c r="C28" s="597"/>
      <c r="D28" s="597"/>
      <c r="E28" s="736"/>
      <c r="F28" s="736"/>
      <c r="G28" s="745"/>
      <c r="H28" s="575"/>
      <c r="I28" s="597"/>
      <c r="J28" s="27" t="s">
        <v>35</v>
      </c>
      <c r="K28" s="251">
        <f>79418820+69218000</f>
        <v>148636820</v>
      </c>
      <c r="L28" s="251">
        <f>78533810+70251000</f>
        <v>148784810</v>
      </c>
      <c r="M28" s="256">
        <f>K28-L28</f>
        <v>-147990</v>
      </c>
      <c r="O28" s="213"/>
    </row>
    <row r="29" spans="1:16" s="30" customFormat="1" ht="18.75" customHeight="1">
      <c r="A29" s="587"/>
      <c r="B29" s="76" t="s">
        <v>48</v>
      </c>
      <c r="C29" s="77" t="s">
        <v>49</v>
      </c>
      <c r="D29" s="77" t="s">
        <v>96</v>
      </c>
      <c r="E29" s="257"/>
      <c r="F29" s="257"/>
      <c r="G29" s="258"/>
      <c r="H29" s="582" t="s">
        <v>39</v>
      </c>
      <c r="I29" s="576" t="s">
        <v>40</v>
      </c>
      <c r="J29" s="27" t="s">
        <v>97</v>
      </c>
      <c r="K29" s="251">
        <f>82000000+81200000</f>
        <v>163200000</v>
      </c>
      <c r="L29" s="257">
        <f>76729767+62911677</f>
        <v>139641444</v>
      </c>
      <c r="M29" s="256">
        <f>K29-L29</f>
        <v>23558556</v>
      </c>
      <c r="O29" s="213"/>
    </row>
    <row r="30" spans="1:16" s="30" customFormat="1" ht="18.75" customHeight="1">
      <c r="A30" s="587"/>
      <c r="B30" s="81" t="s">
        <v>98</v>
      </c>
      <c r="C30" s="82" t="s">
        <v>99</v>
      </c>
      <c r="D30" s="82" t="s">
        <v>100</v>
      </c>
      <c r="E30" s="255"/>
      <c r="F30" s="255"/>
      <c r="G30" s="259"/>
      <c r="H30" s="589"/>
      <c r="I30" s="597"/>
      <c r="J30" s="27" t="s">
        <v>101</v>
      </c>
      <c r="K30" s="257">
        <f>80000000+50000000</f>
        <v>130000000</v>
      </c>
      <c r="L30" s="260">
        <f>77768258+35313460</f>
        <v>113081718</v>
      </c>
      <c r="M30" s="256">
        <f>K30-L30</f>
        <v>16918282</v>
      </c>
      <c r="O30" s="213"/>
    </row>
    <row r="31" spans="1:16" s="30" customFormat="1" ht="18.75" customHeight="1">
      <c r="A31" s="587"/>
      <c r="B31" s="86" t="s">
        <v>102</v>
      </c>
      <c r="C31" s="87" t="s">
        <v>103</v>
      </c>
      <c r="D31" s="87" t="s">
        <v>104</v>
      </c>
      <c r="E31" s="261"/>
      <c r="F31" s="261"/>
      <c r="G31" s="262"/>
      <c r="H31" s="90" t="s">
        <v>189</v>
      </c>
      <c r="I31" s="9" t="s">
        <v>190</v>
      </c>
      <c r="J31" s="16" t="s">
        <v>191</v>
      </c>
      <c r="K31" s="263"/>
      <c r="L31" s="260"/>
      <c r="M31" s="264"/>
      <c r="O31" s="213"/>
    </row>
    <row r="32" spans="1:16" s="30" customFormat="1" ht="18.75" customHeight="1">
      <c r="A32" s="587"/>
      <c r="B32" s="81" t="s">
        <v>108</v>
      </c>
      <c r="C32" s="82" t="s">
        <v>109</v>
      </c>
      <c r="D32" s="82" t="s">
        <v>110</v>
      </c>
      <c r="E32" s="255">
        <f>24706940+100000</f>
        <v>24806940</v>
      </c>
      <c r="F32" s="255">
        <f>19875944+9200</f>
        <v>19885144</v>
      </c>
      <c r="G32" s="252">
        <f>E32-F32</f>
        <v>4921796</v>
      </c>
      <c r="H32" s="103" t="s">
        <v>111</v>
      </c>
      <c r="I32" s="10" t="s">
        <v>112</v>
      </c>
      <c r="J32" s="10" t="s">
        <v>113</v>
      </c>
      <c r="K32" s="265">
        <f>24000000+40000000</f>
        <v>64000000</v>
      </c>
      <c r="L32" s="265">
        <f>24000000+40000000</f>
        <v>64000000</v>
      </c>
      <c r="M32" s="256">
        <f>K32-L32</f>
        <v>0</v>
      </c>
    </row>
    <row r="33" spans="1:13" s="30" customFormat="1" ht="18.75" customHeight="1">
      <c r="A33" s="587"/>
      <c r="B33" s="181" t="s">
        <v>62</v>
      </c>
      <c r="C33" s="61" t="s">
        <v>63</v>
      </c>
      <c r="D33" s="61" t="s">
        <v>64</v>
      </c>
      <c r="E33" s="253">
        <f>66000000+68400000</f>
        <v>134400000</v>
      </c>
      <c r="F33" s="253">
        <f>60783557+59921959</f>
        <v>120705516</v>
      </c>
      <c r="G33" s="252">
        <f>E33-F33</f>
        <v>13694484</v>
      </c>
      <c r="H33" s="738" t="s">
        <v>237</v>
      </c>
      <c r="I33" s="592" t="s">
        <v>238</v>
      </c>
      <c r="J33" s="592" t="s">
        <v>239</v>
      </c>
      <c r="K33" s="724">
        <f>310524352+107506338</f>
        <v>418030690</v>
      </c>
      <c r="L33" s="724">
        <f>310524352+107506338</f>
        <v>418030690</v>
      </c>
      <c r="M33" s="726">
        <v>0</v>
      </c>
    </row>
    <row r="34" spans="1:13" s="30" customFormat="1" ht="18.75" customHeight="1">
      <c r="A34" s="587"/>
      <c r="B34" s="81" t="s">
        <v>116</v>
      </c>
      <c r="C34" s="82" t="s">
        <v>117</v>
      </c>
      <c r="D34" s="82" t="s">
        <v>118</v>
      </c>
      <c r="E34" s="255"/>
      <c r="F34" s="255"/>
      <c r="G34" s="266"/>
      <c r="H34" s="741"/>
      <c r="I34" s="593"/>
      <c r="J34" s="593"/>
      <c r="K34" s="736"/>
      <c r="L34" s="736"/>
      <c r="M34" s="737"/>
    </row>
    <row r="35" spans="1:13" s="30" customFormat="1" ht="18.75" customHeight="1">
      <c r="A35" s="587"/>
      <c r="B35" s="582" t="s">
        <v>122</v>
      </c>
      <c r="C35" s="584" t="s">
        <v>123</v>
      </c>
      <c r="D35" s="101" t="s">
        <v>124</v>
      </c>
      <c r="E35" s="267"/>
      <c r="F35" s="267"/>
      <c r="G35" s="268"/>
      <c r="H35" s="738" t="s">
        <v>125</v>
      </c>
      <c r="I35" s="592" t="s">
        <v>126</v>
      </c>
      <c r="J35" s="592" t="s">
        <v>127</v>
      </c>
      <c r="K35" s="724">
        <f>29526988+25369772</f>
        <v>54896760</v>
      </c>
      <c r="L35" s="724">
        <f>28809593+25053629</f>
        <v>53863222</v>
      </c>
      <c r="M35" s="726">
        <f>K35-L35</f>
        <v>1033538</v>
      </c>
    </row>
    <row r="36" spans="1:13" s="30" customFormat="1" ht="18.75" customHeight="1">
      <c r="A36" s="587"/>
      <c r="B36" s="575"/>
      <c r="C36" s="577"/>
      <c r="D36" s="269" t="s">
        <v>128</v>
      </c>
      <c r="E36" s="270"/>
      <c r="F36" s="270"/>
      <c r="G36" s="268"/>
      <c r="H36" s="739"/>
      <c r="I36" s="740"/>
      <c r="J36" s="740"/>
      <c r="K36" s="725"/>
      <c r="L36" s="725"/>
      <c r="M36" s="727"/>
    </row>
    <row r="37" spans="1:13" s="30" customFormat="1" ht="18.75" customHeight="1" thickBot="1">
      <c r="A37" s="155"/>
      <c r="B37" s="271" t="s">
        <v>240</v>
      </c>
      <c r="C37" s="272" t="s">
        <v>241</v>
      </c>
      <c r="D37" s="272" t="s">
        <v>242</v>
      </c>
      <c r="E37" s="273"/>
      <c r="F37" s="273">
        <v>398017372</v>
      </c>
      <c r="G37" s="274"/>
      <c r="H37" s="90"/>
      <c r="I37" s="9"/>
      <c r="J37" s="9"/>
      <c r="K37" s="265"/>
      <c r="L37" s="265"/>
      <c r="M37" s="275"/>
    </row>
    <row r="38" spans="1:13" s="30" customFormat="1" ht="18.75" customHeight="1" thickTop="1" thickBot="1">
      <c r="A38" s="276"/>
      <c r="B38" s="277" t="s">
        <v>79</v>
      </c>
      <c r="C38" s="278"/>
      <c r="D38" s="278"/>
      <c r="E38" s="279">
        <f>SUM(E23:E36)</f>
        <v>3584998000</v>
      </c>
      <c r="F38" s="279">
        <f>SUM(F23:F37)</f>
        <v>3508163860</v>
      </c>
      <c r="G38" s="279">
        <f>SUM(G23:G36)</f>
        <v>474851512</v>
      </c>
      <c r="H38" s="280" t="s">
        <v>79</v>
      </c>
      <c r="I38" s="281"/>
      <c r="J38" s="281"/>
      <c r="K38" s="282">
        <f>SUM(K23:K36)</f>
        <v>3584998000</v>
      </c>
      <c r="L38" s="282">
        <f>SUM(L23:L36)</f>
        <v>3508163860</v>
      </c>
      <c r="M38" s="283">
        <f>SUM(M23:M36)</f>
        <v>76834140</v>
      </c>
    </row>
    <row r="39" spans="1:13" s="30" customFormat="1" ht="27" customHeight="1">
      <c r="A39" s="865" t="s">
        <v>243</v>
      </c>
      <c r="B39" s="859" t="s">
        <v>17</v>
      </c>
      <c r="C39" s="123" t="s">
        <v>18</v>
      </c>
      <c r="D39" s="123" t="s">
        <v>132</v>
      </c>
      <c r="E39" s="249">
        <f>100200000+342386491</f>
        <v>442586491</v>
      </c>
      <c r="F39" s="249">
        <f>85307360+337132405</f>
        <v>422439765</v>
      </c>
      <c r="G39" s="868">
        <f>E39-F39</f>
        <v>20146726</v>
      </c>
      <c r="H39" s="126" t="s">
        <v>244</v>
      </c>
      <c r="I39" s="127" t="s">
        <v>245</v>
      </c>
      <c r="J39" s="127" t="s">
        <v>246</v>
      </c>
      <c r="K39" s="284">
        <f>5000000</f>
        <v>5000000</v>
      </c>
      <c r="L39" s="284">
        <f>4511725</f>
        <v>4511725</v>
      </c>
      <c r="M39" s="285">
        <f>K39-L39</f>
        <v>488275</v>
      </c>
    </row>
    <row r="40" spans="1:13" s="30" customFormat="1" ht="18.75" customHeight="1">
      <c r="A40" s="866"/>
      <c r="B40" s="765"/>
      <c r="C40" s="64" t="s">
        <v>24</v>
      </c>
      <c r="D40" s="64" t="s">
        <v>136</v>
      </c>
      <c r="E40" s="251"/>
      <c r="F40" s="251"/>
      <c r="G40" s="191">
        <f>E40-F40</f>
        <v>0</v>
      </c>
      <c r="H40" s="138" t="s">
        <v>247</v>
      </c>
      <c r="I40" s="15" t="s">
        <v>248</v>
      </c>
      <c r="J40" s="139" t="s">
        <v>249</v>
      </c>
      <c r="K40" s="260"/>
      <c r="L40" s="260"/>
      <c r="M40" s="288"/>
    </row>
    <row r="41" spans="1:13" s="30" customFormat="1" ht="18.75" customHeight="1">
      <c r="A41" s="866"/>
      <c r="B41" s="860"/>
      <c r="C41" s="64" t="s">
        <v>31</v>
      </c>
      <c r="D41" s="64" t="s">
        <v>140</v>
      </c>
      <c r="E41" s="251">
        <f>33613000</f>
        <v>33613000</v>
      </c>
      <c r="F41" s="251">
        <f>16913406+70580060</f>
        <v>87493466</v>
      </c>
      <c r="G41" s="191">
        <f>E41-F41</f>
        <v>-53880466</v>
      </c>
      <c r="H41" s="590" t="s">
        <v>250</v>
      </c>
      <c r="I41" s="592" t="s">
        <v>251</v>
      </c>
      <c r="J41" s="592" t="s">
        <v>252</v>
      </c>
      <c r="K41" s="265"/>
      <c r="L41" s="289"/>
      <c r="M41" s="732"/>
    </row>
    <row r="42" spans="1:13" s="30" customFormat="1" ht="18.75" customHeight="1">
      <c r="A42" s="866"/>
      <c r="B42" s="750" t="s">
        <v>90</v>
      </c>
      <c r="C42" s="576" t="s">
        <v>37</v>
      </c>
      <c r="D42" s="576" t="s">
        <v>143</v>
      </c>
      <c r="E42" s="724">
        <v>35700000</v>
      </c>
      <c r="F42" s="724">
        <v>4574800</v>
      </c>
      <c r="G42" s="869">
        <f>E42-F42</f>
        <v>31125200</v>
      </c>
      <c r="H42" s="591"/>
      <c r="I42" s="593"/>
      <c r="J42" s="593"/>
      <c r="K42" s="253"/>
      <c r="L42" s="291"/>
      <c r="M42" s="733"/>
    </row>
    <row r="43" spans="1:13" s="30" customFormat="1" ht="18.75" customHeight="1">
      <c r="A43" s="866"/>
      <c r="B43" s="861"/>
      <c r="C43" s="577"/>
      <c r="D43" s="577"/>
      <c r="E43" s="725"/>
      <c r="F43" s="725"/>
      <c r="G43" s="870"/>
      <c r="H43" s="47" t="s">
        <v>253</v>
      </c>
      <c r="I43" s="473" t="s">
        <v>254</v>
      </c>
      <c r="J43" s="473" t="s">
        <v>255</v>
      </c>
      <c r="K43" s="265">
        <f>198579000+225410377</f>
        <v>423989377</v>
      </c>
      <c r="L43" s="260">
        <f>184817092+224872510</f>
        <v>409689602</v>
      </c>
      <c r="M43" s="293">
        <f>K43-L43</f>
        <v>14299775</v>
      </c>
    </row>
    <row r="44" spans="1:13" s="30" customFormat="1" ht="18.75" customHeight="1">
      <c r="A44" s="866"/>
      <c r="B44" s="290" t="s">
        <v>93</v>
      </c>
      <c r="C44" s="15" t="s">
        <v>147</v>
      </c>
      <c r="D44" s="15" t="s">
        <v>44</v>
      </c>
      <c r="E44" s="253">
        <f>208187000+71273000</f>
        <v>279460000</v>
      </c>
      <c r="F44" s="253">
        <f>135511523</f>
        <v>135511523</v>
      </c>
      <c r="G44" s="191">
        <f>E44-F44</f>
        <v>143948477</v>
      </c>
      <c r="H44" s="136" t="s">
        <v>256</v>
      </c>
      <c r="I44" s="10" t="s">
        <v>257</v>
      </c>
      <c r="J44" s="137" t="s">
        <v>150</v>
      </c>
      <c r="K44" s="263">
        <f>54480000</f>
        <v>54480000</v>
      </c>
      <c r="L44" s="260">
        <f>42787870</f>
        <v>42787870</v>
      </c>
      <c r="M44" s="295">
        <f>K44-L44</f>
        <v>11692130</v>
      </c>
    </row>
    <row r="45" spans="1:13" s="30" customFormat="1" ht="18.75" customHeight="1">
      <c r="A45" s="866"/>
      <c r="B45" s="298" t="s">
        <v>196</v>
      </c>
      <c r="C45" s="71" t="s">
        <v>197</v>
      </c>
      <c r="D45" s="71" t="s">
        <v>198</v>
      </c>
      <c r="E45" s="255"/>
      <c r="F45" s="255"/>
      <c r="G45" s="871"/>
      <c r="H45" s="146" t="s">
        <v>199</v>
      </c>
      <c r="I45" s="10" t="s">
        <v>200</v>
      </c>
      <c r="J45" s="10" t="s">
        <v>113</v>
      </c>
      <c r="K45" s="265"/>
      <c r="L45" s="291"/>
      <c r="M45" s="297"/>
    </row>
    <row r="46" spans="1:13" s="30" customFormat="1" ht="18.75" customHeight="1">
      <c r="A46" s="866"/>
      <c r="B46" s="294" t="s">
        <v>98</v>
      </c>
      <c r="C46" s="10" t="s">
        <v>99</v>
      </c>
      <c r="D46" s="10" t="s">
        <v>100</v>
      </c>
      <c r="E46" s="265"/>
      <c r="F46" s="260"/>
      <c r="G46" s="872"/>
      <c r="H46" s="147" t="s">
        <v>201</v>
      </c>
      <c r="I46" s="71" t="s">
        <v>202</v>
      </c>
      <c r="J46" s="71" t="s">
        <v>191</v>
      </c>
      <c r="K46" s="255"/>
      <c r="L46" s="255"/>
      <c r="M46" s="233"/>
    </row>
    <row r="47" spans="1:13" s="30" customFormat="1" ht="18.75" customHeight="1">
      <c r="A47" s="866"/>
      <c r="B47" s="862" t="s">
        <v>108</v>
      </c>
      <c r="C47" s="64" t="s">
        <v>109</v>
      </c>
      <c r="D47" s="149" t="s">
        <v>110</v>
      </c>
      <c r="E47" s="263">
        <f>300000+90000</f>
        <v>390000</v>
      </c>
      <c r="F47" s="260">
        <v>65400</v>
      </c>
      <c r="G47" s="191">
        <f>E47-F47</f>
        <v>324600</v>
      </c>
      <c r="H47" s="138" t="s">
        <v>258</v>
      </c>
      <c r="I47" s="15" t="s">
        <v>259</v>
      </c>
      <c r="J47" s="15" t="s">
        <v>260</v>
      </c>
      <c r="K47" s="253">
        <f>12000000</f>
        <v>12000000</v>
      </c>
      <c r="L47" s="253">
        <f>12000232</f>
        <v>12000232</v>
      </c>
      <c r="M47" s="233">
        <f>K47-L47</f>
        <v>-232</v>
      </c>
    </row>
    <row r="48" spans="1:13" s="30" customFormat="1" ht="18.75" customHeight="1">
      <c r="A48" s="866"/>
      <c r="B48" s="862" t="s">
        <v>162</v>
      </c>
      <c r="C48" s="64" t="s">
        <v>163</v>
      </c>
      <c r="D48" s="149" t="s">
        <v>164</v>
      </c>
      <c r="E48" s="260">
        <f>500000</f>
        <v>500000</v>
      </c>
      <c r="F48" s="260"/>
      <c r="G48" s="191">
        <f>E48-F48</f>
        <v>500000</v>
      </c>
      <c r="H48" s="147" t="s">
        <v>261</v>
      </c>
      <c r="I48" s="71" t="s">
        <v>262</v>
      </c>
      <c r="J48" s="71" t="s">
        <v>263</v>
      </c>
      <c r="K48" s="255">
        <f>69038085+51768294</f>
        <v>120806379</v>
      </c>
      <c r="L48" s="255">
        <f>69038085+51768294</f>
        <v>120806379</v>
      </c>
      <c r="M48" s="233">
        <f>K48-L48</f>
        <v>0</v>
      </c>
    </row>
    <row r="49" spans="1:13" s="30" customFormat="1" ht="18.75" customHeight="1">
      <c r="A49" s="866"/>
      <c r="B49" s="863" t="s">
        <v>264</v>
      </c>
      <c r="C49" s="82" t="s">
        <v>265</v>
      </c>
      <c r="D49" s="82" t="s">
        <v>266</v>
      </c>
      <c r="E49" s="270">
        <v>8924580</v>
      </c>
      <c r="F49" s="270"/>
      <c r="G49" s="871">
        <f>E49-F49</f>
        <v>8924580</v>
      </c>
      <c r="H49" s="878" t="s">
        <v>267</v>
      </c>
      <c r="I49" s="299" t="s">
        <v>268</v>
      </c>
      <c r="J49" s="299" t="s">
        <v>269</v>
      </c>
      <c r="K49" s="300">
        <f>3702915+2236400</f>
        <v>5939315</v>
      </c>
      <c r="L49" s="270">
        <f>3066452+2187802</f>
        <v>5254254</v>
      </c>
      <c r="M49" s="256">
        <f>K49-L49</f>
        <v>685061</v>
      </c>
    </row>
    <row r="50" spans="1:13" s="30" customFormat="1" ht="18.75" customHeight="1">
      <c r="A50" s="866"/>
      <c r="B50" s="864" t="s">
        <v>270</v>
      </c>
      <c r="C50" s="25" t="s">
        <v>271</v>
      </c>
      <c r="D50" s="25" t="s">
        <v>272</v>
      </c>
      <c r="E50" s="260"/>
      <c r="F50" s="260">
        <f>78489167+45050479</f>
        <v>123539646</v>
      </c>
      <c r="G50" s="873"/>
      <c r="H50" s="880" t="s">
        <v>657</v>
      </c>
      <c r="I50" s="881" t="s">
        <v>658</v>
      </c>
      <c r="J50" s="11" t="s">
        <v>659</v>
      </c>
      <c r="K50" s="260">
        <v>18447000</v>
      </c>
      <c r="L50" s="260">
        <v>18274700</v>
      </c>
      <c r="M50" s="256">
        <f t="shared" ref="M50:M51" si="1">K50-L50</f>
        <v>172300</v>
      </c>
    </row>
    <row r="51" spans="1:13" s="30" customFormat="1" ht="18.75" customHeight="1">
      <c r="A51" s="866"/>
      <c r="B51" s="864"/>
      <c r="C51" s="25"/>
      <c r="D51" s="25"/>
      <c r="E51" s="260"/>
      <c r="F51" s="260"/>
      <c r="G51" s="873"/>
      <c r="H51" s="29" t="s">
        <v>660</v>
      </c>
      <c r="I51" s="11" t="s">
        <v>661</v>
      </c>
      <c r="J51" s="11" t="s">
        <v>662</v>
      </c>
      <c r="K51" s="260">
        <v>160512000</v>
      </c>
      <c r="L51" s="260">
        <v>160299838</v>
      </c>
      <c r="M51" s="256">
        <f t="shared" si="1"/>
        <v>212162</v>
      </c>
    </row>
    <row r="52" spans="1:13" s="30" customFormat="1" ht="18.75" customHeight="1" thickBot="1">
      <c r="A52" s="867"/>
      <c r="B52" s="857" t="s">
        <v>273</v>
      </c>
      <c r="C52" s="301"/>
      <c r="D52" s="302"/>
      <c r="E52" s="303">
        <f>SUM(E39:E49)</f>
        <v>801174071</v>
      </c>
      <c r="F52" s="303">
        <f>SUM(F39:F50)</f>
        <v>773624600</v>
      </c>
      <c r="G52" s="874">
        <f>SUM(G39:G49)</f>
        <v>151089117</v>
      </c>
      <c r="H52" s="879" t="s">
        <v>274</v>
      </c>
      <c r="I52" s="876"/>
      <c r="J52" s="876"/>
      <c r="K52" s="279">
        <f>SUM(K39:K51)</f>
        <v>801174071</v>
      </c>
      <c r="L52" s="279">
        <f>SUM(L39:L51)</f>
        <v>773624600</v>
      </c>
      <c r="M52" s="858">
        <f>SUM(M39:M49)</f>
        <v>27165009</v>
      </c>
    </row>
    <row r="53" spans="1:13" s="30" customFormat="1" ht="18.75" customHeight="1" thickBot="1">
      <c r="A53" s="304"/>
      <c r="B53" s="305" t="s">
        <v>178</v>
      </c>
      <c r="C53" s="306"/>
      <c r="D53" s="306"/>
      <c r="E53" s="307">
        <f>E22+E38+E52</f>
        <v>4441172071</v>
      </c>
      <c r="F53" s="307">
        <f>F22+F38+F52</f>
        <v>4347384663</v>
      </c>
      <c r="G53" s="308">
        <f>G22+G38+G52</f>
        <v>615344426</v>
      </c>
      <c r="H53" s="875" t="s">
        <v>178</v>
      </c>
      <c r="I53" s="876"/>
      <c r="J53" s="876"/>
      <c r="K53" s="877">
        <f>K22+K38+K52</f>
        <v>4441172071</v>
      </c>
      <c r="L53" s="877">
        <f>L22+L38+L52</f>
        <v>4347384663</v>
      </c>
      <c r="M53" s="309">
        <f>M22+M38+M52</f>
        <v>93402946</v>
      </c>
    </row>
  </sheetData>
  <mergeCells count="89">
    <mergeCell ref="A5:M5"/>
    <mergeCell ref="A39:A52"/>
    <mergeCell ref="A1:B1"/>
    <mergeCell ref="A2:B2"/>
    <mergeCell ref="C2:D2"/>
    <mergeCell ref="A3:M3"/>
    <mergeCell ref="A4:M4"/>
    <mergeCell ref="A6:M6"/>
    <mergeCell ref="A7:A9"/>
    <mergeCell ref="B7:G7"/>
    <mergeCell ref="H7:M7"/>
    <mergeCell ref="B8:D8"/>
    <mergeCell ref="E8:E9"/>
    <mergeCell ref="F8:F9"/>
    <mergeCell ref="G8:G9"/>
    <mergeCell ref="H8:J8"/>
    <mergeCell ref="K8:K9"/>
    <mergeCell ref="L8:L9"/>
    <mergeCell ref="M8:M9"/>
    <mergeCell ref="A10:A21"/>
    <mergeCell ref="B10:B14"/>
    <mergeCell ref="E10:E11"/>
    <mergeCell ref="F10:F11"/>
    <mergeCell ref="G10:G11"/>
    <mergeCell ref="H10:H11"/>
    <mergeCell ref="I10:I11"/>
    <mergeCell ref="J10:J11"/>
    <mergeCell ref="L10:L11"/>
    <mergeCell ref="M10:M11"/>
    <mergeCell ref="E12:E13"/>
    <mergeCell ref="F12:F13"/>
    <mergeCell ref="G12:G13"/>
    <mergeCell ref="H12:H13"/>
    <mergeCell ref="I12:I13"/>
    <mergeCell ref="J12:J13"/>
    <mergeCell ref="M12:M13"/>
    <mergeCell ref="H16:H17"/>
    <mergeCell ref="I16:I17"/>
    <mergeCell ref="H18:H19"/>
    <mergeCell ref="I18:I19"/>
    <mergeCell ref="J18:J19"/>
    <mergeCell ref="L18:L19"/>
    <mergeCell ref="M18:M19"/>
    <mergeCell ref="H20:H21"/>
    <mergeCell ref="I20:I21"/>
    <mergeCell ref="A23:A36"/>
    <mergeCell ref="B23:B25"/>
    <mergeCell ref="H23:H24"/>
    <mergeCell ref="I23:I24"/>
    <mergeCell ref="J23:J24"/>
    <mergeCell ref="K23:K24"/>
    <mergeCell ref="K18:K19"/>
    <mergeCell ref="L23:L24"/>
    <mergeCell ref="M23:M24"/>
    <mergeCell ref="H25:H28"/>
    <mergeCell ref="I25:I28"/>
    <mergeCell ref="B27:B28"/>
    <mergeCell ref="C27:C28"/>
    <mergeCell ref="D27:D28"/>
    <mergeCell ref="E27:E28"/>
    <mergeCell ref="F27:F28"/>
    <mergeCell ref="G27:G28"/>
    <mergeCell ref="H29:H30"/>
    <mergeCell ref="I29:I30"/>
    <mergeCell ref="H33:H34"/>
    <mergeCell ref="I33:I34"/>
    <mergeCell ref="J33:J34"/>
    <mergeCell ref="L33:L34"/>
    <mergeCell ref="M33:M34"/>
    <mergeCell ref="B35:B36"/>
    <mergeCell ref="C35:C36"/>
    <mergeCell ref="H35:H36"/>
    <mergeCell ref="I35:I36"/>
    <mergeCell ref="J35:J36"/>
    <mergeCell ref="K35:K36"/>
    <mergeCell ref="L35:L36"/>
    <mergeCell ref="M35:M36"/>
    <mergeCell ref="K33:K34"/>
    <mergeCell ref="I41:I42"/>
    <mergeCell ref="J41:J42"/>
    <mergeCell ref="M41:M42"/>
    <mergeCell ref="B42:B43"/>
    <mergeCell ref="C42:C43"/>
    <mergeCell ref="D42:D43"/>
    <mergeCell ref="E42:E43"/>
    <mergeCell ref="F42:F43"/>
    <mergeCell ref="G42:G43"/>
    <mergeCell ref="B39:B41"/>
    <mergeCell ref="H41:H42"/>
  </mergeCells>
  <phoneticPr fontId="3" type="noConversion"/>
  <printOptions horizontalCentered="1"/>
  <pageMargins left="0.7" right="0.27559055118110237" top="0.39370078740157483" bottom="0.23622047244094491" header="0.27559055118110237" footer="0.35433070866141736"/>
  <pageSetup paperSize="9" scale="54" orientation="portrait" horizontalDpi="1200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0"/>
  <sheetViews>
    <sheetView view="pageBreakPreview" zoomScaleNormal="100" zoomScaleSheetLayoutView="100" workbookViewId="0">
      <selection activeCell="F20" sqref="F20"/>
    </sheetView>
  </sheetViews>
  <sheetFormatPr defaultRowHeight="16.5"/>
  <cols>
    <col min="1" max="1" width="12.125" style="1" customWidth="1"/>
    <col min="2" max="2" width="15.25" style="1" customWidth="1"/>
    <col min="3" max="3" width="14.5" style="1" customWidth="1"/>
    <col min="4" max="4" width="5.625" style="1" customWidth="1"/>
    <col min="5" max="7" width="14.25" style="1" customWidth="1"/>
    <col min="8" max="8" width="15.375" style="1" customWidth="1"/>
    <col min="9" max="9" width="13.25" style="1" customWidth="1"/>
    <col min="10" max="256" width="9" style="1"/>
    <col min="257" max="257" width="12.125" style="1" customWidth="1"/>
    <col min="258" max="258" width="15.25" style="1" customWidth="1"/>
    <col min="259" max="259" width="14.5" style="1" customWidth="1"/>
    <col min="260" max="260" width="5.625" style="1" customWidth="1"/>
    <col min="261" max="263" width="14.25" style="1" customWidth="1"/>
    <col min="264" max="264" width="15.375" style="1" customWidth="1"/>
    <col min="265" max="265" width="13.25" style="1" customWidth="1"/>
    <col min="266" max="512" width="9" style="1"/>
    <col min="513" max="513" width="12.125" style="1" customWidth="1"/>
    <col min="514" max="514" width="15.25" style="1" customWidth="1"/>
    <col min="515" max="515" width="14.5" style="1" customWidth="1"/>
    <col min="516" max="516" width="5.625" style="1" customWidth="1"/>
    <col min="517" max="519" width="14.25" style="1" customWidth="1"/>
    <col min="520" max="520" width="15.375" style="1" customWidth="1"/>
    <col min="521" max="521" width="13.25" style="1" customWidth="1"/>
    <col min="522" max="768" width="9" style="1"/>
    <col min="769" max="769" width="12.125" style="1" customWidth="1"/>
    <col min="770" max="770" width="15.25" style="1" customWidth="1"/>
    <col min="771" max="771" width="14.5" style="1" customWidth="1"/>
    <col min="772" max="772" width="5.625" style="1" customWidth="1"/>
    <col min="773" max="775" width="14.25" style="1" customWidth="1"/>
    <col min="776" max="776" width="15.375" style="1" customWidth="1"/>
    <col min="777" max="777" width="13.25" style="1" customWidth="1"/>
    <col min="778" max="1024" width="9" style="1"/>
    <col min="1025" max="1025" width="12.125" style="1" customWidth="1"/>
    <col min="1026" max="1026" width="15.25" style="1" customWidth="1"/>
    <col min="1027" max="1027" width="14.5" style="1" customWidth="1"/>
    <col min="1028" max="1028" width="5.625" style="1" customWidth="1"/>
    <col min="1029" max="1031" width="14.25" style="1" customWidth="1"/>
    <col min="1032" max="1032" width="15.375" style="1" customWidth="1"/>
    <col min="1033" max="1033" width="13.25" style="1" customWidth="1"/>
    <col min="1034" max="1280" width="9" style="1"/>
    <col min="1281" max="1281" width="12.125" style="1" customWidth="1"/>
    <col min="1282" max="1282" width="15.25" style="1" customWidth="1"/>
    <col min="1283" max="1283" width="14.5" style="1" customWidth="1"/>
    <col min="1284" max="1284" width="5.625" style="1" customWidth="1"/>
    <col min="1285" max="1287" width="14.25" style="1" customWidth="1"/>
    <col min="1288" max="1288" width="15.375" style="1" customWidth="1"/>
    <col min="1289" max="1289" width="13.25" style="1" customWidth="1"/>
    <col min="1290" max="1536" width="9" style="1"/>
    <col min="1537" max="1537" width="12.125" style="1" customWidth="1"/>
    <col min="1538" max="1538" width="15.25" style="1" customWidth="1"/>
    <col min="1539" max="1539" width="14.5" style="1" customWidth="1"/>
    <col min="1540" max="1540" width="5.625" style="1" customWidth="1"/>
    <col min="1541" max="1543" width="14.25" style="1" customWidth="1"/>
    <col min="1544" max="1544" width="15.375" style="1" customWidth="1"/>
    <col min="1545" max="1545" width="13.25" style="1" customWidth="1"/>
    <col min="1546" max="1792" width="9" style="1"/>
    <col min="1793" max="1793" width="12.125" style="1" customWidth="1"/>
    <col min="1794" max="1794" width="15.25" style="1" customWidth="1"/>
    <col min="1795" max="1795" width="14.5" style="1" customWidth="1"/>
    <col min="1796" max="1796" width="5.625" style="1" customWidth="1"/>
    <col min="1797" max="1799" width="14.25" style="1" customWidth="1"/>
    <col min="1800" max="1800" width="15.375" style="1" customWidth="1"/>
    <col min="1801" max="1801" width="13.25" style="1" customWidth="1"/>
    <col min="1802" max="2048" width="9" style="1"/>
    <col min="2049" max="2049" width="12.125" style="1" customWidth="1"/>
    <col min="2050" max="2050" width="15.25" style="1" customWidth="1"/>
    <col min="2051" max="2051" width="14.5" style="1" customWidth="1"/>
    <col min="2052" max="2052" width="5.625" style="1" customWidth="1"/>
    <col min="2053" max="2055" width="14.25" style="1" customWidth="1"/>
    <col min="2056" max="2056" width="15.375" style="1" customWidth="1"/>
    <col min="2057" max="2057" width="13.25" style="1" customWidth="1"/>
    <col min="2058" max="2304" width="9" style="1"/>
    <col min="2305" max="2305" width="12.125" style="1" customWidth="1"/>
    <col min="2306" max="2306" width="15.25" style="1" customWidth="1"/>
    <col min="2307" max="2307" width="14.5" style="1" customWidth="1"/>
    <col min="2308" max="2308" width="5.625" style="1" customWidth="1"/>
    <col min="2309" max="2311" width="14.25" style="1" customWidth="1"/>
    <col min="2312" max="2312" width="15.375" style="1" customWidth="1"/>
    <col min="2313" max="2313" width="13.25" style="1" customWidth="1"/>
    <col min="2314" max="2560" width="9" style="1"/>
    <col min="2561" max="2561" width="12.125" style="1" customWidth="1"/>
    <col min="2562" max="2562" width="15.25" style="1" customWidth="1"/>
    <col min="2563" max="2563" width="14.5" style="1" customWidth="1"/>
    <col min="2564" max="2564" width="5.625" style="1" customWidth="1"/>
    <col min="2565" max="2567" width="14.25" style="1" customWidth="1"/>
    <col min="2568" max="2568" width="15.375" style="1" customWidth="1"/>
    <col min="2569" max="2569" width="13.25" style="1" customWidth="1"/>
    <col min="2570" max="2816" width="9" style="1"/>
    <col min="2817" max="2817" width="12.125" style="1" customWidth="1"/>
    <col min="2818" max="2818" width="15.25" style="1" customWidth="1"/>
    <col min="2819" max="2819" width="14.5" style="1" customWidth="1"/>
    <col min="2820" max="2820" width="5.625" style="1" customWidth="1"/>
    <col min="2821" max="2823" width="14.25" style="1" customWidth="1"/>
    <col min="2824" max="2824" width="15.375" style="1" customWidth="1"/>
    <col min="2825" max="2825" width="13.25" style="1" customWidth="1"/>
    <col min="2826" max="3072" width="9" style="1"/>
    <col min="3073" max="3073" width="12.125" style="1" customWidth="1"/>
    <col min="3074" max="3074" width="15.25" style="1" customWidth="1"/>
    <col min="3075" max="3075" width="14.5" style="1" customWidth="1"/>
    <col min="3076" max="3076" width="5.625" style="1" customWidth="1"/>
    <col min="3077" max="3079" width="14.25" style="1" customWidth="1"/>
    <col min="3080" max="3080" width="15.375" style="1" customWidth="1"/>
    <col min="3081" max="3081" width="13.25" style="1" customWidth="1"/>
    <col min="3082" max="3328" width="9" style="1"/>
    <col min="3329" max="3329" width="12.125" style="1" customWidth="1"/>
    <col min="3330" max="3330" width="15.25" style="1" customWidth="1"/>
    <col min="3331" max="3331" width="14.5" style="1" customWidth="1"/>
    <col min="3332" max="3332" width="5.625" style="1" customWidth="1"/>
    <col min="3333" max="3335" width="14.25" style="1" customWidth="1"/>
    <col min="3336" max="3336" width="15.375" style="1" customWidth="1"/>
    <col min="3337" max="3337" width="13.25" style="1" customWidth="1"/>
    <col min="3338" max="3584" width="9" style="1"/>
    <col min="3585" max="3585" width="12.125" style="1" customWidth="1"/>
    <col min="3586" max="3586" width="15.25" style="1" customWidth="1"/>
    <col min="3587" max="3587" width="14.5" style="1" customWidth="1"/>
    <col min="3588" max="3588" width="5.625" style="1" customWidth="1"/>
    <col min="3589" max="3591" width="14.25" style="1" customWidth="1"/>
    <col min="3592" max="3592" width="15.375" style="1" customWidth="1"/>
    <col min="3593" max="3593" width="13.25" style="1" customWidth="1"/>
    <col min="3594" max="3840" width="9" style="1"/>
    <col min="3841" max="3841" width="12.125" style="1" customWidth="1"/>
    <col min="3842" max="3842" width="15.25" style="1" customWidth="1"/>
    <col min="3843" max="3843" width="14.5" style="1" customWidth="1"/>
    <col min="3844" max="3844" width="5.625" style="1" customWidth="1"/>
    <col min="3845" max="3847" width="14.25" style="1" customWidth="1"/>
    <col min="3848" max="3848" width="15.375" style="1" customWidth="1"/>
    <col min="3849" max="3849" width="13.25" style="1" customWidth="1"/>
    <col min="3850" max="4096" width="9" style="1"/>
    <col min="4097" max="4097" width="12.125" style="1" customWidth="1"/>
    <col min="4098" max="4098" width="15.25" style="1" customWidth="1"/>
    <col min="4099" max="4099" width="14.5" style="1" customWidth="1"/>
    <col min="4100" max="4100" width="5.625" style="1" customWidth="1"/>
    <col min="4101" max="4103" width="14.25" style="1" customWidth="1"/>
    <col min="4104" max="4104" width="15.375" style="1" customWidth="1"/>
    <col min="4105" max="4105" width="13.25" style="1" customWidth="1"/>
    <col min="4106" max="4352" width="9" style="1"/>
    <col min="4353" max="4353" width="12.125" style="1" customWidth="1"/>
    <col min="4354" max="4354" width="15.25" style="1" customWidth="1"/>
    <col min="4355" max="4355" width="14.5" style="1" customWidth="1"/>
    <col min="4356" max="4356" width="5.625" style="1" customWidth="1"/>
    <col min="4357" max="4359" width="14.25" style="1" customWidth="1"/>
    <col min="4360" max="4360" width="15.375" style="1" customWidth="1"/>
    <col min="4361" max="4361" width="13.25" style="1" customWidth="1"/>
    <col min="4362" max="4608" width="9" style="1"/>
    <col min="4609" max="4609" width="12.125" style="1" customWidth="1"/>
    <col min="4610" max="4610" width="15.25" style="1" customWidth="1"/>
    <col min="4611" max="4611" width="14.5" style="1" customWidth="1"/>
    <col min="4612" max="4612" width="5.625" style="1" customWidth="1"/>
    <col min="4613" max="4615" width="14.25" style="1" customWidth="1"/>
    <col min="4616" max="4616" width="15.375" style="1" customWidth="1"/>
    <col min="4617" max="4617" width="13.25" style="1" customWidth="1"/>
    <col min="4618" max="4864" width="9" style="1"/>
    <col min="4865" max="4865" width="12.125" style="1" customWidth="1"/>
    <col min="4866" max="4866" width="15.25" style="1" customWidth="1"/>
    <col min="4867" max="4867" width="14.5" style="1" customWidth="1"/>
    <col min="4868" max="4868" width="5.625" style="1" customWidth="1"/>
    <col min="4869" max="4871" width="14.25" style="1" customWidth="1"/>
    <col min="4872" max="4872" width="15.375" style="1" customWidth="1"/>
    <col min="4873" max="4873" width="13.25" style="1" customWidth="1"/>
    <col min="4874" max="5120" width="9" style="1"/>
    <col min="5121" max="5121" width="12.125" style="1" customWidth="1"/>
    <col min="5122" max="5122" width="15.25" style="1" customWidth="1"/>
    <col min="5123" max="5123" width="14.5" style="1" customWidth="1"/>
    <col min="5124" max="5124" width="5.625" style="1" customWidth="1"/>
    <col min="5125" max="5127" width="14.25" style="1" customWidth="1"/>
    <col min="5128" max="5128" width="15.375" style="1" customWidth="1"/>
    <col min="5129" max="5129" width="13.25" style="1" customWidth="1"/>
    <col min="5130" max="5376" width="9" style="1"/>
    <col min="5377" max="5377" width="12.125" style="1" customWidth="1"/>
    <col min="5378" max="5378" width="15.25" style="1" customWidth="1"/>
    <col min="5379" max="5379" width="14.5" style="1" customWidth="1"/>
    <col min="5380" max="5380" width="5.625" style="1" customWidth="1"/>
    <col min="5381" max="5383" width="14.25" style="1" customWidth="1"/>
    <col min="5384" max="5384" width="15.375" style="1" customWidth="1"/>
    <col min="5385" max="5385" width="13.25" style="1" customWidth="1"/>
    <col min="5386" max="5632" width="9" style="1"/>
    <col min="5633" max="5633" width="12.125" style="1" customWidth="1"/>
    <col min="5634" max="5634" width="15.25" style="1" customWidth="1"/>
    <col min="5635" max="5635" width="14.5" style="1" customWidth="1"/>
    <col min="5636" max="5636" width="5.625" style="1" customWidth="1"/>
    <col min="5637" max="5639" width="14.25" style="1" customWidth="1"/>
    <col min="5640" max="5640" width="15.375" style="1" customWidth="1"/>
    <col min="5641" max="5641" width="13.25" style="1" customWidth="1"/>
    <col min="5642" max="5888" width="9" style="1"/>
    <col min="5889" max="5889" width="12.125" style="1" customWidth="1"/>
    <col min="5890" max="5890" width="15.25" style="1" customWidth="1"/>
    <col min="5891" max="5891" width="14.5" style="1" customWidth="1"/>
    <col min="5892" max="5892" width="5.625" style="1" customWidth="1"/>
    <col min="5893" max="5895" width="14.25" style="1" customWidth="1"/>
    <col min="5896" max="5896" width="15.375" style="1" customWidth="1"/>
    <col min="5897" max="5897" width="13.25" style="1" customWidth="1"/>
    <col min="5898" max="6144" width="9" style="1"/>
    <col min="6145" max="6145" width="12.125" style="1" customWidth="1"/>
    <col min="6146" max="6146" width="15.25" style="1" customWidth="1"/>
    <col min="6147" max="6147" width="14.5" style="1" customWidth="1"/>
    <col min="6148" max="6148" width="5.625" style="1" customWidth="1"/>
    <col min="6149" max="6151" width="14.25" style="1" customWidth="1"/>
    <col min="6152" max="6152" width="15.375" style="1" customWidth="1"/>
    <col min="6153" max="6153" width="13.25" style="1" customWidth="1"/>
    <col min="6154" max="6400" width="9" style="1"/>
    <col min="6401" max="6401" width="12.125" style="1" customWidth="1"/>
    <col min="6402" max="6402" width="15.25" style="1" customWidth="1"/>
    <col min="6403" max="6403" width="14.5" style="1" customWidth="1"/>
    <col min="6404" max="6404" width="5.625" style="1" customWidth="1"/>
    <col min="6405" max="6407" width="14.25" style="1" customWidth="1"/>
    <col min="6408" max="6408" width="15.375" style="1" customWidth="1"/>
    <col min="6409" max="6409" width="13.25" style="1" customWidth="1"/>
    <col min="6410" max="6656" width="9" style="1"/>
    <col min="6657" max="6657" width="12.125" style="1" customWidth="1"/>
    <col min="6658" max="6658" width="15.25" style="1" customWidth="1"/>
    <col min="6659" max="6659" width="14.5" style="1" customWidth="1"/>
    <col min="6660" max="6660" width="5.625" style="1" customWidth="1"/>
    <col min="6661" max="6663" width="14.25" style="1" customWidth="1"/>
    <col min="6664" max="6664" width="15.375" style="1" customWidth="1"/>
    <col min="6665" max="6665" width="13.25" style="1" customWidth="1"/>
    <col min="6666" max="6912" width="9" style="1"/>
    <col min="6913" max="6913" width="12.125" style="1" customWidth="1"/>
    <col min="6914" max="6914" width="15.25" style="1" customWidth="1"/>
    <col min="6915" max="6915" width="14.5" style="1" customWidth="1"/>
    <col min="6916" max="6916" width="5.625" style="1" customWidth="1"/>
    <col min="6917" max="6919" width="14.25" style="1" customWidth="1"/>
    <col min="6920" max="6920" width="15.375" style="1" customWidth="1"/>
    <col min="6921" max="6921" width="13.25" style="1" customWidth="1"/>
    <col min="6922" max="7168" width="9" style="1"/>
    <col min="7169" max="7169" width="12.125" style="1" customWidth="1"/>
    <col min="7170" max="7170" width="15.25" style="1" customWidth="1"/>
    <col min="7171" max="7171" width="14.5" style="1" customWidth="1"/>
    <col min="7172" max="7172" width="5.625" style="1" customWidth="1"/>
    <col min="7173" max="7175" width="14.25" style="1" customWidth="1"/>
    <col min="7176" max="7176" width="15.375" style="1" customWidth="1"/>
    <col min="7177" max="7177" width="13.25" style="1" customWidth="1"/>
    <col min="7178" max="7424" width="9" style="1"/>
    <col min="7425" max="7425" width="12.125" style="1" customWidth="1"/>
    <col min="7426" max="7426" width="15.25" style="1" customWidth="1"/>
    <col min="7427" max="7427" width="14.5" style="1" customWidth="1"/>
    <col min="7428" max="7428" width="5.625" style="1" customWidth="1"/>
    <col min="7429" max="7431" width="14.25" style="1" customWidth="1"/>
    <col min="7432" max="7432" width="15.375" style="1" customWidth="1"/>
    <col min="7433" max="7433" width="13.25" style="1" customWidth="1"/>
    <col min="7434" max="7680" width="9" style="1"/>
    <col min="7681" max="7681" width="12.125" style="1" customWidth="1"/>
    <col min="7682" max="7682" width="15.25" style="1" customWidth="1"/>
    <col min="7683" max="7683" width="14.5" style="1" customWidth="1"/>
    <col min="7684" max="7684" width="5.625" style="1" customWidth="1"/>
    <col min="7685" max="7687" width="14.25" style="1" customWidth="1"/>
    <col min="7688" max="7688" width="15.375" style="1" customWidth="1"/>
    <col min="7689" max="7689" width="13.25" style="1" customWidth="1"/>
    <col min="7690" max="7936" width="9" style="1"/>
    <col min="7937" max="7937" width="12.125" style="1" customWidth="1"/>
    <col min="7938" max="7938" width="15.25" style="1" customWidth="1"/>
    <col min="7939" max="7939" width="14.5" style="1" customWidth="1"/>
    <col min="7940" max="7940" width="5.625" style="1" customWidth="1"/>
    <col min="7941" max="7943" width="14.25" style="1" customWidth="1"/>
    <col min="7944" max="7944" width="15.375" style="1" customWidth="1"/>
    <col min="7945" max="7945" width="13.25" style="1" customWidth="1"/>
    <col min="7946" max="8192" width="9" style="1"/>
    <col min="8193" max="8193" width="12.125" style="1" customWidth="1"/>
    <col min="8194" max="8194" width="15.25" style="1" customWidth="1"/>
    <col min="8195" max="8195" width="14.5" style="1" customWidth="1"/>
    <col min="8196" max="8196" width="5.625" style="1" customWidth="1"/>
    <col min="8197" max="8199" width="14.25" style="1" customWidth="1"/>
    <col min="8200" max="8200" width="15.375" style="1" customWidth="1"/>
    <col min="8201" max="8201" width="13.25" style="1" customWidth="1"/>
    <col min="8202" max="8448" width="9" style="1"/>
    <col min="8449" max="8449" width="12.125" style="1" customWidth="1"/>
    <col min="8450" max="8450" width="15.25" style="1" customWidth="1"/>
    <col min="8451" max="8451" width="14.5" style="1" customWidth="1"/>
    <col min="8452" max="8452" width="5.625" style="1" customWidth="1"/>
    <col min="8453" max="8455" width="14.25" style="1" customWidth="1"/>
    <col min="8456" max="8456" width="15.375" style="1" customWidth="1"/>
    <col min="8457" max="8457" width="13.25" style="1" customWidth="1"/>
    <col min="8458" max="8704" width="9" style="1"/>
    <col min="8705" max="8705" width="12.125" style="1" customWidth="1"/>
    <col min="8706" max="8706" width="15.25" style="1" customWidth="1"/>
    <col min="8707" max="8707" width="14.5" style="1" customWidth="1"/>
    <col min="8708" max="8708" width="5.625" style="1" customWidth="1"/>
    <col min="8709" max="8711" width="14.25" style="1" customWidth="1"/>
    <col min="8712" max="8712" width="15.375" style="1" customWidth="1"/>
    <col min="8713" max="8713" width="13.25" style="1" customWidth="1"/>
    <col min="8714" max="8960" width="9" style="1"/>
    <col min="8961" max="8961" width="12.125" style="1" customWidth="1"/>
    <col min="8962" max="8962" width="15.25" style="1" customWidth="1"/>
    <col min="8963" max="8963" width="14.5" style="1" customWidth="1"/>
    <col min="8964" max="8964" width="5.625" style="1" customWidth="1"/>
    <col min="8965" max="8967" width="14.25" style="1" customWidth="1"/>
    <col min="8968" max="8968" width="15.375" style="1" customWidth="1"/>
    <col min="8969" max="8969" width="13.25" style="1" customWidth="1"/>
    <col min="8970" max="9216" width="9" style="1"/>
    <col min="9217" max="9217" width="12.125" style="1" customWidth="1"/>
    <col min="9218" max="9218" width="15.25" style="1" customWidth="1"/>
    <col min="9219" max="9219" width="14.5" style="1" customWidth="1"/>
    <col min="9220" max="9220" width="5.625" style="1" customWidth="1"/>
    <col min="9221" max="9223" width="14.25" style="1" customWidth="1"/>
    <col min="9224" max="9224" width="15.375" style="1" customWidth="1"/>
    <col min="9225" max="9225" width="13.25" style="1" customWidth="1"/>
    <col min="9226" max="9472" width="9" style="1"/>
    <col min="9473" max="9473" width="12.125" style="1" customWidth="1"/>
    <col min="9474" max="9474" width="15.25" style="1" customWidth="1"/>
    <col min="9475" max="9475" width="14.5" style="1" customWidth="1"/>
    <col min="9476" max="9476" width="5.625" style="1" customWidth="1"/>
    <col min="9477" max="9479" width="14.25" style="1" customWidth="1"/>
    <col min="9480" max="9480" width="15.375" style="1" customWidth="1"/>
    <col min="9481" max="9481" width="13.25" style="1" customWidth="1"/>
    <col min="9482" max="9728" width="9" style="1"/>
    <col min="9729" max="9729" width="12.125" style="1" customWidth="1"/>
    <col min="9730" max="9730" width="15.25" style="1" customWidth="1"/>
    <col min="9731" max="9731" width="14.5" style="1" customWidth="1"/>
    <col min="9732" max="9732" width="5.625" style="1" customWidth="1"/>
    <col min="9733" max="9735" width="14.25" style="1" customWidth="1"/>
    <col min="9736" max="9736" width="15.375" style="1" customWidth="1"/>
    <col min="9737" max="9737" width="13.25" style="1" customWidth="1"/>
    <col min="9738" max="9984" width="9" style="1"/>
    <col min="9985" max="9985" width="12.125" style="1" customWidth="1"/>
    <col min="9986" max="9986" width="15.25" style="1" customWidth="1"/>
    <col min="9987" max="9987" width="14.5" style="1" customWidth="1"/>
    <col min="9988" max="9988" width="5.625" style="1" customWidth="1"/>
    <col min="9989" max="9991" width="14.25" style="1" customWidth="1"/>
    <col min="9992" max="9992" width="15.375" style="1" customWidth="1"/>
    <col min="9993" max="9993" width="13.25" style="1" customWidth="1"/>
    <col min="9994" max="10240" width="9" style="1"/>
    <col min="10241" max="10241" width="12.125" style="1" customWidth="1"/>
    <col min="10242" max="10242" width="15.25" style="1" customWidth="1"/>
    <col min="10243" max="10243" width="14.5" style="1" customWidth="1"/>
    <col min="10244" max="10244" width="5.625" style="1" customWidth="1"/>
    <col min="10245" max="10247" width="14.25" style="1" customWidth="1"/>
    <col min="10248" max="10248" width="15.375" style="1" customWidth="1"/>
    <col min="10249" max="10249" width="13.25" style="1" customWidth="1"/>
    <col min="10250" max="10496" width="9" style="1"/>
    <col min="10497" max="10497" width="12.125" style="1" customWidth="1"/>
    <col min="10498" max="10498" width="15.25" style="1" customWidth="1"/>
    <col min="10499" max="10499" width="14.5" style="1" customWidth="1"/>
    <col min="10500" max="10500" width="5.625" style="1" customWidth="1"/>
    <col min="10501" max="10503" width="14.25" style="1" customWidth="1"/>
    <col min="10504" max="10504" width="15.375" style="1" customWidth="1"/>
    <col min="10505" max="10505" width="13.25" style="1" customWidth="1"/>
    <col min="10506" max="10752" width="9" style="1"/>
    <col min="10753" max="10753" width="12.125" style="1" customWidth="1"/>
    <col min="10754" max="10754" width="15.25" style="1" customWidth="1"/>
    <col min="10755" max="10755" width="14.5" style="1" customWidth="1"/>
    <col min="10756" max="10756" width="5.625" style="1" customWidth="1"/>
    <col min="10757" max="10759" width="14.25" style="1" customWidth="1"/>
    <col min="10760" max="10760" width="15.375" style="1" customWidth="1"/>
    <col min="10761" max="10761" width="13.25" style="1" customWidth="1"/>
    <col min="10762" max="11008" width="9" style="1"/>
    <col min="11009" max="11009" width="12.125" style="1" customWidth="1"/>
    <col min="11010" max="11010" width="15.25" style="1" customWidth="1"/>
    <col min="11011" max="11011" width="14.5" style="1" customWidth="1"/>
    <col min="11012" max="11012" width="5.625" style="1" customWidth="1"/>
    <col min="11013" max="11015" width="14.25" style="1" customWidth="1"/>
    <col min="11016" max="11016" width="15.375" style="1" customWidth="1"/>
    <col min="11017" max="11017" width="13.25" style="1" customWidth="1"/>
    <col min="11018" max="11264" width="9" style="1"/>
    <col min="11265" max="11265" width="12.125" style="1" customWidth="1"/>
    <col min="11266" max="11266" width="15.25" style="1" customWidth="1"/>
    <col min="11267" max="11267" width="14.5" style="1" customWidth="1"/>
    <col min="11268" max="11268" width="5.625" style="1" customWidth="1"/>
    <col min="11269" max="11271" width="14.25" style="1" customWidth="1"/>
    <col min="11272" max="11272" width="15.375" style="1" customWidth="1"/>
    <col min="11273" max="11273" width="13.25" style="1" customWidth="1"/>
    <col min="11274" max="11520" width="9" style="1"/>
    <col min="11521" max="11521" width="12.125" style="1" customWidth="1"/>
    <col min="11522" max="11522" width="15.25" style="1" customWidth="1"/>
    <col min="11523" max="11523" width="14.5" style="1" customWidth="1"/>
    <col min="11524" max="11524" width="5.625" style="1" customWidth="1"/>
    <col min="11525" max="11527" width="14.25" style="1" customWidth="1"/>
    <col min="11528" max="11528" width="15.375" style="1" customWidth="1"/>
    <col min="11529" max="11529" width="13.25" style="1" customWidth="1"/>
    <col min="11530" max="11776" width="9" style="1"/>
    <col min="11777" max="11777" width="12.125" style="1" customWidth="1"/>
    <col min="11778" max="11778" width="15.25" style="1" customWidth="1"/>
    <col min="11779" max="11779" width="14.5" style="1" customWidth="1"/>
    <col min="11780" max="11780" width="5.625" style="1" customWidth="1"/>
    <col min="11781" max="11783" width="14.25" style="1" customWidth="1"/>
    <col min="11784" max="11784" width="15.375" style="1" customWidth="1"/>
    <col min="11785" max="11785" width="13.25" style="1" customWidth="1"/>
    <col min="11786" max="12032" width="9" style="1"/>
    <col min="12033" max="12033" width="12.125" style="1" customWidth="1"/>
    <col min="12034" max="12034" width="15.25" style="1" customWidth="1"/>
    <col min="12035" max="12035" width="14.5" style="1" customWidth="1"/>
    <col min="12036" max="12036" width="5.625" style="1" customWidth="1"/>
    <col min="12037" max="12039" width="14.25" style="1" customWidth="1"/>
    <col min="12040" max="12040" width="15.375" style="1" customWidth="1"/>
    <col min="12041" max="12041" width="13.25" style="1" customWidth="1"/>
    <col min="12042" max="12288" width="9" style="1"/>
    <col min="12289" max="12289" width="12.125" style="1" customWidth="1"/>
    <col min="12290" max="12290" width="15.25" style="1" customWidth="1"/>
    <col min="12291" max="12291" width="14.5" style="1" customWidth="1"/>
    <col min="12292" max="12292" width="5.625" style="1" customWidth="1"/>
    <col min="12293" max="12295" width="14.25" style="1" customWidth="1"/>
    <col min="12296" max="12296" width="15.375" style="1" customWidth="1"/>
    <col min="12297" max="12297" width="13.25" style="1" customWidth="1"/>
    <col min="12298" max="12544" width="9" style="1"/>
    <col min="12545" max="12545" width="12.125" style="1" customWidth="1"/>
    <col min="12546" max="12546" width="15.25" style="1" customWidth="1"/>
    <col min="12547" max="12547" width="14.5" style="1" customWidth="1"/>
    <col min="12548" max="12548" width="5.625" style="1" customWidth="1"/>
    <col min="12549" max="12551" width="14.25" style="1" customWidth="1"/>
    <col min="12552" max="12552" width="15.375" style="1" customWidth="1"/>
    <col min="12553" max="12553" width="13.25" style="1" customWidth="1"/>
    <col min="12554" max="12800" width="9" style="1"/>
    <col min="12801" max="12801" width="12.125" style="1" customWidth="1"/>
    <col min="12802" max="12802" width="15.25" style="1" customWidth="1"/>
    <col min="12803" max="12803" width="14.5" style="1" customWidth="1"/>
    <col min="12804" max="12804" width="5.625" style="1" customWidth="1"/>
    <col min="12805" max="12807" width="14.25" style="1" customWidth="1"/>
    <col min="12808" max="12808" width="15.375" style="1" customWidth="1"/>
    <col min="12809" max="12809" width="13.25" style="1" customWidth="1"/>
    <col min="12810" max="13056" width="9" style="1"/>
    <col min="13057" max="13057" width="12.125" style="1" customWidth="1"/>
    <col min="13058" max="13058" width="15.25" style="1" customWidth="1"/>
    <col min="13059" max="13059" width="14.5" style="1" customWidth="1"/>
    <col min="13060" max="13060" width="5.625" style="1" customWidth="1"/>
    <col min="13061" max="13063" width="14.25" style="1" customWidth="1"/>
    <col min="13064" max="13064" width="15.375" style="1" customWidth="1"/>
    <col min="13065" max="13065" width="13.25" style="1" customWidth="1"/>
    <col min="13066" max="13312" width="9" style="1"/>
    <col min="13313" max="13313" width="12.125" style="1" customWidth="1"/>
    <col min="13314" max="13314" width="15.25" style="1" customWidth="1"/>
    <col min="13315" max="13315" width="14.5" style="1" customWidth="1"/>
    <col min="13316" max="13316" width="5.625" style="1" customWidth="1"/>
    <col min="13317" max="13319" width="14.25" style="1" customWidth="1"/>
    <col min="13320" max="13320" width="15.375" style="1" customWidth="1"/>
    <col min="13321" max="13321" width="13.25" style="1" customWidth="1"/>
    <col min="13322" max="13568" width="9" style="1"/>
    <col min="13569" max="13569" width="12.125" style="1" customWidth="1"/>
    <col min="13570" max="13570" width="15.25" style="1" customWidth="1"/>
    <col min="13571" max="13571" width="14.5" style="1" customWidth="1"/>
    <col min="13572" max="13572" width="5.625" style="1" customWidth="1"/>
    <col min="13573" max="13575" width="14.25" style="1" customWidth="1"/>
    <col min="13576" max="13576" width="15.375" style="1" customWidth="1"/>
    <col min="13577" max="13577" width="13.25" style="1" customWidth="1"/>
    <col min="13578" max="13824" width="9" style="1"/>
    <col min="13825" max="13825" width="12.125" style="1" customWidth="1"/>
    <col min="13826" max="13826" width="15.25" style="1" customWidth="1"/>
    <col min="13827" max="13827" width="14.5" style="1" customWidth="1"/>
    <col min="13828" max="13828" width="5.625" style="1" customWidth="1"/>
    <col min="13829" max="13831" width="14.25" style="1" customWidth="1"/>
    <col min="13832" max="13832" width="15.375" style="1" customWidth="1"/>
    <col min="13833" max="13833" width="13.25" style="1" customWidth="1"/>
    <col min="13834" max="14080" width="9" style="1"/>
    <col min="14081" max="14081" width="12.125" style="1" customWidth="1"/>
    <col min="14082" max="14082" width="15.25" style="1" customWidth="1"/>
    <col min="14083" max="14083" width="14.5" style="1" customWidth="1"/>
    <col min="14084" max="14084" width="5.625" style="1" customWidth="1"/>
    <col min="14085" max="14087" width="14.25" style="1" customWidth="1"/>
    <col min="14088" max="14088" width="15.375" style="1" customWidth="1"/>
    <col min="14089" max="14089" width="13.25" style="1" customWidth="1"/>
    <col min="14090" max="14336" width="9" style="1"/>
    <col min="14337" max="14337" width="12.125" style="1" customWidth="1"/>
    <col min="14338" max="14338" width="15.25" style="1" customWidth="1"/>
    <col min="14339" max="14339" width="14.5" style="1" customWidth="1"/>
    <col min="14340" max="14340" width="5.625" style="1" customWidth="1"/>
    <col min="14341" max="14343" width="14.25" style="1" customWidth="1"/>
    <col min="14344" max="14344" width="15.375" style="1" customWidth="1"/>
    <col min="14345" max="14345" width="13.25" style="1" customWidth="1"/>
    <col min="14346" max="14592" width="9" style="1"/>
    <col min="14593" max="14593" width="12.125" style="1" customWidth="1"/>
    <col min="14594" max="14594" width="15.25" style="1" customWidth="1"/>
    <col min="14595" max="14595" width="14.5" style="1" customWidth="1"/>
    <col min="14596" max="14596" width="5.625" style="1" customWidth="1"/>
    <col min="14597" max="14599" width="14.25" style="1" customWidth="1"/>
    <col min="14600" max="14600" width="15.375" style="1" customWidth="1"/>
    <col min="14601" max="14601" width="13.25" style="1" customWidth="1"/>
    <col min="14602" max="14848" width="9" style="1"/>
    <col min="14849" max="14849" width="12.125" style="1" customWidth="1"/>
    <col min="14850" max="14850" width="15.25" style="1" customWidth="1"/>
    <col min="14851" max="14851" width="14.5" style="1" customWidth="1"/>
    <col min="14852" max="14852" width="5.625" style="1" customWidth="1"/>
    <col min="14853" max="14855" width="14.25" style="1" customWidth="1"/>
    <col min="14856" max="14856" width="15.375" style="1" customWidth="1"/>
    <col min="14857" max="14857" width="13.25" style="1" customWidth="1"/>
    <col min="14858" max="15104" width="9" style="1"/>
    <col min="15105" max="15105" width="12.125" style="1" customWidth="1"/>
    <col min="15106" max="15106" width="15.25" style="1" customWidth="1"/>
    <col min="15107" max="15107" width="14.5" style="1" customWidth="1"/>
    <col min="15108" max="15108" width="5.625" style="1" customWidth="1"/>
    <col min="15109" max="15111" width="14.25" style="1" customWidth="1"/>
    <col min="15112" max="15112" width="15.375" style="1" customWidth="1"/>
    <col min="15113" max="15113" width="13.25" style="1" customWidth="1"/>
    <col min="15114" max="15360" width="9" style="1"/>
    <col min="15361" max="15361" width="12.125" style="1" customWidth="1"/>
    <col min="15362" max="15362" width="15.25" style="1" customWidth="1"/>
    <col min="15363" max="15363" width="14.5" style="1" customWidth="1"/>
    <col min="15364" max="15364" width="5.625" style="1" customWidth="1"/>
    <col min="15365" max="15367" width="14.25" style="1" customWidth="1"/>
    <col min="15368" max="15368" width="15.375" style="1" customWidth="1"/>
    <col min="15369" max="15369" width="13.25" style="1" customWidth="1"/>
    <col min="15370" max="15616" width="9" style="1"/>
    <col min="15617" max="15617" width="12.125" style="1" customWidth="1"/>
    <col min="15618" max="15618" width="15.25" style="1" customWidth="1"/>
    <col min="15619" max="15619" width="14.5" style="1" customWidth="1"/>
    <col min="15620" max="15620" width="5.625" style="1" customWidth="1"/>
    <col min="15621" max="15623" width="14.25" style="1" customWidth="1"/>
    <col min="15624" max="15624" width="15.375" style="1" customWidth="1"/>
    <col min="15625" max="15625" width="13.25" style="1" customWidth="1"/>
    <col min="15626" max="15872" width="9" style="1"/>
    <col min="15873" max="15873" width="12.125" style="1" customWidth="1"/>
    <col min="15874" max="15874" width="15.25" style="1" customWidth="1"/>
    <col min="15875" max="15875" width="14.5" style="1" customWidth="1"/>
    <col min="15876" max="15876" width="5.625" style="1" customWidth="1"/>
    <col min="15877" max="15879" width="14.25" style="1" customWidth="1"/>
    <col min="15880" max="15880" width="15.375" style="1" customWidth="1"/>
    <col min="15881" max="15881" width="13.25" style="1" customWidth="1"/>
    <col min="15882" max="16128" width="9" style="1"/>
    <col min="16129" max="16129" width="12.125" style="1" customWidth="1"/>
    <col min="16130" max="16130" width="15.25" style="1" customWidth="1"/>
    <col min="16131" max="16131" width="14.5" style="1" customWidth="1"/>
    <col min="16132" max="16132" width="5.625" style="1" customWidth="1"/>
    <col min="16133" max="16135" width="14.25" style="1" customWidth="1"/>
    <col min="16136" max="16136" width="15.375" style="1" customWidth="1"/>
    <col min="16137" max="16137" width="13.25" style="1" customWidth="1"/>
    <col min="16138" max="16384" width="9" style="1"/>
  </cols>
  <sheetData>
    <row r="1" spans="1:8" ht="18.75" customHeight="1">
      <c r="A1" s="647" t="s">
        <v>495</v>
      </c>
      <c r="B1" s="647"/>
    </row>
    <row r="2" spans="1:8" ht="18.75" customHeight="1">
      <c r="A2" s="648" t="s">
        <v>613</v>
      </c>
      <c r="B2" s="648"/>
      <c r="C2" s="648"/>
      <c r="D2" s="648"/>
      <c r="E2" s="648"/>
      <c r="F2" s="648"/>
      <c r="G2" s="648"/>
      <c r="H2" s="648"/>
    </row>
    <row r="3" spans="1:8" ht="22.5" customHeight="1">
      <c r="A3" s="703" t="s">
        <v>614</v>
      </c>
      <c r="B3" s="703"/>
      <c r="C3" s="703"/>
      <c r="D3" s="703"/>
      <c r="E3" s="703"/>
      <c r="F3" s="703"/>
      <c r="G3" s="703"/>
      <c r="H3" s="703"/>
    </row>
    <row r="4" spans="1:8" ht="24" customHeight="1">
      <c r="A4" s="704" t="s">
        <v>615</v>
      </c>
      <c r="B4" s="704"/>
      <c r="C4" s="704"/>
      <c r="D4" s="704"/>
      <c r="E4" s="704"/>
      <c r="F4" s="704"/>
      <c r="G4" s="704"/>
      <c r="H4" s="704"/>
    </row>
    <row r="5" spans="1:8" ht="17.100000000000001" customHeight="1">
      <c r="A5" s="705" t="s">
        <v>616</v>
      </c>
      <c r="B5" s="705"/>
      <c r="C5" s="705"/>
      <c r="D5" s="705"/>
      <c r="E5" s="705"/>
      <c r="F5" s="705"/>
      <c r="G5" s="705"/>
      <c r="H5" s="705"/>
    </row>
    <row r="6" spans="1:8" ht="27" customHeight="1"/>
    <row r="7" spans="1:8" ht="18.75" customHeight="1">
      <c r="A7" s="690" t="s">
        <v>617</v>
      </c>
      <c r="B7" s="690"/>
      <c r="C7" s="690"/>
      <c r="D7" s="690"/>
      <c r="E7" s="690"/>
      <c r="F7" s="690"/>
      <c r="G7" s="690"/>
      <c r="H7" s="690"/>
    </row>
    <row r="8" spans="1:8" ht="18.75" customHeight="1">
      <c r="A8" s="667" t="s">
        <v>618</v>
      </c>
      <c r="B8" s="667"/>
      <c r="C8" s="667"/>
      <c r="D8" s="667"/>
      <c r="E8" s="667"/>
      <c r="F8" s="667"/>
      <c r="G8" s="667"/>
      <c r="H8" s="667"/>
    </row>
    <row r="9" spans="1:8" ht="35.25" customHeight="1">
      <c r="A9" s="668" t="s">
        <v>619</v>
      </c>
      <c r="B9" s="668"/>
      <c r="C9" s="668"/>
      <c r="D9" s="668"/>
      <c r="E9" s="668"/>
      <c r="F9" s="668"/>
      <c r="G9" s="668"/>
      <c r="H9" s="668"/>
    </row>
    <row r="10" spans="1:8" ht="19.5" customHeight="1">
      <c r="A10" s="669" t="s">
        <v>503</v>
      </c>
      <c r="B10" s="669"/>
      <c r="C10" s="669"/>
      <c r="D10" s="669" t="s">
        <v>620</v>
      </c>
      <c r="E10" s="669" t="s">
        <v>621</v>
      </c>
      <c r="F10" s="669" t="s">
        <v>622</v>
      </c>
      <c r="G10" s="669" t="s">
        <v>601</v>
      </c>
      <c r="H10" s="669" t="s">
        <v>570</v>
      </c>
    </row>
    <row r="11" spans="1:8" ht="19.5" customHeight="1">
      <c r="A11" s="551" t="s">
        <v>13</v>
      </c>
      <c r="B11" s="551" t="s">
        <v>14</v>
      </c>
      <c r="C11" s="551" t="s">
        <v>15</v>
      </c>
      <c r="D11" s="669"/>
      <c r="E11" s="669"/>
      <c r="F11" s="669"/>
      <c r="G11" s="669"/>
      <c r="H11" s="669"/>
    </row>
    <row r="12" spans="1:8" ht="19.5" customHeight="1">
      <c r="A12" s="721" t="s">
        <v>623</v>
      </c>
      <c r="B12" s="723" t="s">
        <v>624</v>
      </c>
      <c r="C12" s="723" t="s">
        <v>625</v>
      </c>
      <c r="D12" s="508" t="s">
        <v>626</v>
      </c>
      <c r="E12" s="552"/>
      <c r="F12" s="552">
        <v>5400000</v>
      </c>
      <c r="G12" s="553"/>
      <c r="H12" s="553">
        <f>SUM(E12:G12)</f>
        <v>5400000</v>
      </c>
    </row>
    <row r="13" spans="1:8" ht="19.5" customHeight="1">
      <c r="A13" s="673"/>
      <c r="B13" s="723"/>
      <c r="C13" s="723"/>
      <c r="D13" s="508" t="s">
        <v>627</v>
      </c>
      <c r="E13" s="552"/>
      <c r="F13" s="552">
        <v>3095169</v>
      </c>
      <c r="G13" s="553"/>
      <c r="H13" s="553">
        <f t="shared" ref="H13:H38" si="0">SUM(E13:G13)</f>
        <v>3095169</v>
      </c>
    </row>
    <row r="14" spans="1:8" ht="19.5" customHeight="1">
      <c r="A14" s="722"/>
      <c r="B14" s="723"/>
      <c r="C14" s="723"/>
      <c r="D14" s="512" t="s">
        <v>628</v>
      </c>
      <c r="E14" s="554"/>
      <c r="F14" s="554">
        <f>F12-F13</f>
        <v>2304831</v>
      </c>
      <c r="G14" s="555"/>
      <c r="H14" s="553">
        <f t="shared" si="0"/>
        <v>2304831</v>
      </c>
    </row>
    <row r="15" spans="1:8" ht="19.5" customHeight="1">
      <c r="A15" s="721" t="s">
        <v>139</v>
      </c>
      <c r="B15" s="723" t="s">
        <v>139</v>
      </c>
      <c r="C15" s="723" t="s">
        <v>139</v>
      </c>
      <c r="D15" s="508" t="s">
        <v>512</v>
      </c>
      <c r="E15" s="554"/>
      <c r="F15" s="554"/>
      <c r="G15" s="555"/>
      <c r="H15" s="553">
        <f t="shared" si="0"/>
        <v>0</v>
      </c>
    </row>
    <row r="16" spans="1:8" ht="19.5" customHeight="1">
      <c r="A16" s="673"/>
      <c r="B16" s="723"/>
      <c r="C16" s="723"/>
      <c r="D16" s="508" t="s">
        <v>516</v>
      </c>
      <c r="E16" s="554"/>
      <c r="F16" s="554"/>
      <c r="G16" s="555"/>
      <c r="H16" s="553">
        <f t="shared" si="0"/>
        <v>0</v>
      </c>
    </row>
    <row r="17" spans="1:8" ht="19.5" customHeight="1">
      <c r="A17" s="722"/>
      <c r="B17" s="723"/>
      <c r="C17" s="723"/>
      <c r="D17" s="512" t="s">
        <v>514</v>
      </c>
      <c r="E17" s="554"/>
      <c r="F17" s="554"/>
      <c r="G17" s="555"/>
      <c r="H17" s="553">
        <f t="shared" si="0"/>
        <v>0</v>
      </c>
    </row>
    <row r="18" spans="1:8" ht="19.5" customHeight="1">
      <c r="A18" s="721" t="s">
        <v>629</v>
      </c>
      <c r="B18" s="721" t="s">
        <v>629</v>
      </c>
      <c r="C18" s="721" t="s">
        <v>630</v>
      </c>
      <c r="D18" s="508" t="s">
        <v>512</v>
      </c>
      <c r="E18" s="554"/>
      <c r="F18" s="554">
        <v>29600000</v>
      </c>
      <c r="G18" s="555"/>
      <c r="H18" s="553">
        <f t="shared" si="0"/>
        <v>29600000</v>
      </c>
    </row>
    <row r="19" spans="1:8" ht="19.5" customHeight="1">
      <c r="A19" s="673"/>
      <c r="B19" s="673"/>
      <c r="C19" s="673"/>
      <c r="D19" s="508" t="s">
        <v>516</v>
      </c>
      <c r="E19" s="554"/>
      <c r="F19" s="554">
        <v>29355000</v>
      </c>
      <c r="G19" s="555"/>
      <c r="H19" s="553">
        <f t="shared" si="0"/>
        <v>29355000</v>
      </c>
    </row>
    <row r="20" spans="1:8" ht="19.5" customHeight="1">
      <c r="A20" s="722"/>
      <c r="B20" s="722"/>
      <c r="C20" s="722"/>
      <c r="D20" s="508" t="s">
        <v>514</v>
      </c>
      <c r="E20" s="554"/>
      <c r="F20" s="554">
        <f>F18-F19</f>
        <v>245000</v>
      </c>
      <c r="G20" s="555"/>
      <c r="H20" s="553">
        <f t="shared" si="0"/>
        <v>245000</v>
      </c>
    </row>
    <row r="21" spans="1:8" ht="19.5" customHeight="1">
      <c r="A21" s="721" t="s">
        <v>631</v>
      </c>
      <c r="B21" s="721" t="s">
        <v>631</v>
      </c>
      <c r="C21" s="721" t="s">
        <v>632</v>
      </c>
      <c r="D21" s="508" t="s">
        <v>512</v>
      </c>
      <c r="E21" s="554"/>
      <c r="F21" s="554"/>
      <c r="G21" s="555"/>
      <c r="H21" s="553">
        <f t="shared" si="0"/>
        <v>0</v>
      </c>
    </row>
    <row r="22" spans="1:8" ht="19.5" customHeight="1">
      <c r="A22" s="673"/>
      <c r="B22" s="673"/>
      <c r="C22" s="673"/>
      <c r="D22" s="508" t="s">
        <v>516</v>
      </c>
      <c r="E22" s="554"/>
      <c r="F22" s="554"/>
      <c r="G22" s="555"/>
      <c r="H22" s="553">
        <f t="shared" si="0"/>
        <v>0</v>
      </c>
    </row>
    <row r="23" spans="1:8" ht="19.5" customHeight="1">
      <c r="A23" s="722"/>
      <c r="B23" s="722"/>
      <c r="C23" s="722"/>
      <c r="D23" s="508" t="s">
        <v>514</v>
      </c>
      <c r="E23" s="554"/>
      <c r="F23" s="554"/>
      <c r="G23" s="555"/>
      <c r="H23" s="553">
        <f t="shared" si="0"/>
        <v>0</v>
      </c>
    </row>
    <row r="24" spans="1:8" ht="19.5" customHeight="1">
      <c r="A24" s="721" t="s">
        <v>546</v>
      </c>
      <c r="B24" s="721" t="s">
        <v>546</v>
      </c>
      <c r="C24" s="721" t="s">
        <v>633</v>
      </c>
      <c r="D24" s="508" t="s">
        <v>512</v>
      </c>
      <c r="E24" s="554"/>
      <c r="F24" s="554">
        <v>10000000</v>
      </c>
      <c r="G24" s="555"/>
      <c r="H24" s="553">
        <f t="shared" si="0"/>
        <v>10000000</v>
      </c>
    </row>
    <row r="25" spans="1:8" ht="19.5" customHeight="1">
      <c r="A25" s="673"/>
      <c r="B25" s="673"/>
      <c r="C25" s="673"/>
      <c r="D25" s="508" t="s">
        <v>516</v>
      </c>
      <c r="E25" s="554"/>
      <c r="F25" s="554">
        <v>26000000</v>
      </c>
      <c r="G25" s="555"/>
      <c r="H25" s="553">
        <f t="shared" si="0"/>
        <v>26000000</v>
      </c>
    </row>
    <row r="26" spans="1:8" ht="19.5" customHeight="1">
      <c r="A26" s="722"/>
      <c r="B26" s="722"/>
      <c r="C26" s="722"/>
      <c r="D26" s="508" t="s">
        <v>514</v>
      </c>
      <c r="E26" s="554"/>
      <c r="F26" s="555">
        <f>F24-F25</f>
        <v>-16000000</v>
      </c>
      <c r="G26" s="555"/>
      <c r="H26" s="553">
        <f t="shared" si="0"/>
        <v>-16000000</v>
      </c>
    </row>
    <row r="27" spans="1:8" ht="19.5" customHeight="1">
      <c r="A27" s="721" t="s">
        <v>548</v>
      </c>
      <c r="B27" s="721" t="s">
        <v>548</v>
      </c>
      <c r="C27" s="721" t="s">
        <v>549</v>
      </c>
      <c r="D27" s="508" t="s">
        <v>512</v>
      </c>
      <c r="E27" s="554"/>
      <c r="F27" s="554">
        <v>10000000</v>
      </c>
      <c r="G27" s="555"/>
      <c r="H27" s="553">
        <f t="shared" si="0"/>
        <v>10000000</v>
      </c>
    </row>
    <row r="28" spans="1:8" ht="19.5" customHeight="1">
      <c r="A28" s="673"/>
      <c r="B28" s="673"/>
      <c r="C28" s="673"/>
      <c r="D28" s="508" t="s">
        <v>516</v>
      </c>
      <c r="E28" s="554"/>
      <c r="F28" s="554">
        <v>3350040</v>
      </c>
      <c r="G28" s="555"/>
      <c r="H28" s="553">
        <f t="shared" si="0"/>
        <v>3350040</v>
      </c>
    </row>
    <row r="29" spans="1:8" ht="19.5" customHeight="1">
      <c r="A29" s="722"/>
      <c r="B29" s="722"/>
      <c r="C29" s="722"/>
      <c r="D29" s="508" t="s">
        <v>514</v>
      </c>
      <c r="E29" s="554"/>
      <c r="F29" s="554">
        <f>F27-F28</f>
        <v>6649960</v>
      </c>
      <c r="G29" s="555"/>
      <c r="H29" s="553">
        <f t="shared" si="0"/>
        <v>6649960</v>
      </c>
    </row>
    <row r="30" spans="1:8" ht="19.5" customHeight="1">
      <c r="A30" s="721" t="s">
        <v>550</v>
      </c>
      <c r="B30" s="721" t="s">
        <v>550</v>
      </c>
      <c r="C30" s="721" t="s">
        <v>634</v>
      </c>
      <c r="D30" s="508" t="s">
        <v>512</v>
      </c>
      <c r="E30" s="554"/>
      <c r="F30" s="554"/>
      <c r="G30" s="555"/>
      <c r="H30" s="553">
        <f t="shared" si="0"/>
        <v>0</v>
      </c>
    </row>
    <row r="31" spans="1:8" ht="19.5" customHeight="1">
      <c r="A31" s="673"/>
      <c r="B31" s="673"/>
      <c r="C31" s="673"/>
      <c r="D31" s="508" t="s">
        <v>516</v>
      </c>
      <c r="E31" s="554"/>
      <c r="F31" s="554">
        <v>2994</v>
      </c>
      <c r="G31" s="555"/>
      <c r="H31" s="553">
        <f t="shared" si="0"/>
        <v>2994</v>
      </c>
    </row>
    <row r="32" spans="1:8" ht="19.5" customHeight="1">
      <c r="A32" s="673"/>
      <c r="B32" s="673"/>
      <c r="C32" s="722"/>
      <c r="D32" s="508" t="s">
        <v>514</v>
      </c>
      <c r="E32" s="554"/>
      <c r="F32" s="555">
        <f>F30-F31</f>
        <v>-2994</v>
      </c>
      <c r="G32" s="555"/>
      <c r="H32" s="553">
        <f t="shared" si="0"/>
        <v>-2994</v>
      </c>
    </row>
    <row r="33" spans="1:10" ht="19.5" customHeight="1">
      <c r="A33" s="673"/>
      <c r="B33" s="673"/>
      <c r="C33" s="721" t="s">
        <v>635</v>
      </c>
      <c r="D33" s="508" t="s">
        <v>512</v>
      </c>
      <c r="E33" s="554"/>
      <c r="F33" s="554"/>
      <c r="G33" s="555"/>
      <c r="H33" s="553">
        <f t="shared" si="0"/>
        <v>0</v>
      </c>
    </row>
    <row r="34" spans="1:10" ht="19.5" customHeight="1">
      <c r="A34" s="673"/>
      <c r="B34" s="673"/>
      <c r="C34" s="673"/>
      <c r="D34" s="508" t="s">
        <v>516</v>
      </c>
      <c r="E34" s="554"/>
      <c r="F34" s="554">
        <v>3793000</v>
      </c>
      <c r="G34" s="555"/>
      <c r="H34" s="553">
        <f t="shared" si="0"/>
        <v>3793000</v>
      </c>
    </row>
    <row r="35" spans="1:10" ht="19.5" customHeight="1">
      <c r="A35" s="722"/>
      <c r="B35" s="722"/>
      <c r="C35" s="722"/>
      <c r="D35" s="508" t="s">
        <v>514</v>
      </c>
      <c r="E35" s="554"/>
      <c r="F35" s="555">
        <f>F33-F34</f>
        <v>-3793000</v>
      </c>
      <c r="G35" s="555"/>
      <c r="H35" s="553">
        <f t="shared" si="0"/>
        <v>-3793000</v>
      </c>
    </row>
    <row r="36" spans="1:10" s="560" customFormat="1" ht="19.5" customHeight="1">
      <c r="A36" s="715" t="s">
        <v>561</v>
      </c>
      <c r="B36" s="716"/>
      <c r="C36" s="717"/>
      <c r="D36" s="556" t="s">
        <v>512</v>
      </c>
      <c r="E36" s="557"/>
      <c r="F36" s="557">
        <f>F12+F15+F18+F21+F24+F27+F30+F33</f>
        <v>55000000</v>
      </c>
      <c r="G36" s="558"/>
      <c r="H36" s="559">
        <f t="shared" si="0"/>
        <v>55000000</v>
      </c>
      <c r="J36" s="561"/>
    </row>
    <row r="37" spans="1:10" s="560" customFormat="1" ht="19.5" customHeight="1">
      <c r="A37" s="715"/>
      <c r="B37" s="716"/>
      <c r="C37" s="717"/>
      <c r="D37" s="556" t="s">
        <v>516</v>
      </c>
      <c r="E37" s="557"/>
      <c r="F37" s="557">
        <f>F13+F19+F22+F25+F28+F31+F34</f>
        <v>65596203</v>
      </c>
      <c r="G37" s="558"/>
      <c r="H37" s="559">
        <f t="shared" si="0"/>
        <v>65596203</v>
      </c>
    </row>
    <row r="38" spans="1:10" s="560" customFormat="1" ht="19.5" customHeight="1">
      <c r="A38" s="718"/>
      <c r="B38" s="719"/>
      <c r="C38" s="720"/>
      <c r="D38" s="562" t="s">
        <v>514</v>
      </c>
      <c r="E38" s="557"/>
      <c r="F38" s="558">
        <f>F36-F37</f>
        <v>-10596203</v>
      </c>
      <c r="G38" s="558"/>
      <c r="H38" s="559">
        <f t="shared" si="0"/>
        <v>-10596203</v>
      </c>
      <c r="J38" s="561"/>
    </row>
    <row r="39" spans="1:10" ht="17.100000000000001" customHeight="1">
      <c r="A39" s="529" t="s">
        <v>562</v>
      </c>
    </row>
    <row r="40" spans="1:10" ht="17.100000000000001" customHeight="1">
      <c r="A40" s="690" t="s">
        <v>636</v>
      </c>
      <c r="B40" s="690"/>
      <c r="C40" s="690"/>
      <c r="D40" s="690"/>
      <c r="E40" s="690"/>
      <c r="F40" s="690"/>
      <c r="G40" s="690"/>
      <c r="H40" s="690"/>
    </row>
    <row r="41" spans="1:10" ht="17.100000000000001" customHeight="1">
      <c r="A41" s="667" t="s">
        <v>637</v>
      </c>
      <c r="B41" s="667"/>
      <c r="C41" s="667"/>
      <c r="D41" s="667"/>
      <c r="E41" s="667"/>
      <c r="F41" s="667"/>
      <c r="G41" s="667"/>
      <c r="H41" s="667"/>
    </row>
    <row r="42" spans="1:10" ht="27.75" customHeight="1">
      <c r="A42" s="668" t="s">
        <v>638</v>
      </c>
      <c r="B42" s="668"/>
      <c r="C42" s="668"/>
      <c r="D42" s="668"/>
      <c r="E42" s="668"/>
      <c r="F42" s="668"/>
      <c r="G42" s="668"/>
      <c r="H42" s="668"/>
    </row>
    <row r="43" spans="1:10" ht="19.5" customHeight="1">
      <c r="A43" s="669" t="s">
        <v>503</v>
      </c>
      <c r="B43" s="669"/>
      <c r="C43" s="669"/>
      <c r="D43" s="669" t="s">
        <v>620</v>
      </c>
      <c r="E43" s="669" t="s">
        <v>621</v>
      </c>
      <c r="F43" s="669" t="s">
        <v>622</v>
      </c>
      <c r="G43" s="669" t="s">
        <v>601</v>
      </c>
      <c r="H43" s="669" t="s">
        <v>639</v>
      </c>
    </row>
    <row r="44" spans="1:10" ht="19.5" customHeight="1">
      <c r="A44" s="551" t="s">
        <v>13</v>
      </c>
      <c r="B44" s="551" t="s">
        <v>14</v>
      </c>
      <c r="C44" s="551" t="s">
        <v>15</v>
      </c>
      <c r="D44" s="669"/>
      <c r="E44" s="669"/>
      <c r="F44" s="669"/>
      <c r="G44" s="669"/>
      <c r="H44" s="669"/>
    </row>
    <row r="45" spans="1:10" ht="19.5" customHeight="1">
      <c r="A45" s="721" t="s">
        <v>571</v>
      </c>
      <c r="B45" s="723" t="s">
        <v>572</v>
      </c>
      <c r="C45" s="723" t="s">
        <v>640</v>
      </c>
      <c r="D45" s="508" t="s">
        <v>512</v>
      </c>
      <c r="E45" s="552"/>
      <c r="F45" s="563">
        <v>37450000</v>
      </c>
      <c r="G45" s="553"/>
      <c r="H45" s="553">
        <f>SUM(E45:G45)</f>
        <v>37450000</v>
      </c>
    </row>
    <row r="46" spans="1:10" ht="19.5" customHeight="1">
      <c r="A46" s="673"/>
      <c r="B46" s="723"/>
      <c r="C46" s="723"/>
      <c r="D46" s="508" t="s">
        <v>641</v>
      </c>
      <c r="E46" s="552"/>
      <c r="F46" s="563">
        <v>39198684</v>
      </c>
      <c r="G46" s="553"/>
      <c r="H46" s="553">
        <f t="shared" ref="H46:H80" si="1">SUM(E46:G46)</f>
        <v>39198684</v>
      </c>
    </row>
    <row r="47" spans="1:10" ht="19.5" customHeight="1">
      <c r="A47" s="673"/>
      <c r="B47" s="723"/>
      <c r="C47" s="723"/>
      <c r="D47" s="512" t="s">
        <v>514</v>
      </c>
      <c r="E47" s="554"/>
      <c r="F47" s="564">
        <f>F45-F46</f>
        <v>-1748684</v>
      </c>
      <c r="G47" s="555"/>
      <c r="H47" s="553">
        <f t="shared" si="1"/>
        <v>-1748684</v>
      </c>
    </row>
    <row r="48" spans="1:10" ht="19.5" customHeight="1">
      <c r="A48" s="673"/>
      <c r="B48" s="723" t="s">
        <v>578</v>
      </c>
      <c r="C48" s="723" t="s">
        <v>642</v>
      </c>
      <c r="D48" s="508" t="s">
        <v>512</v>
      </c>
      <c r="E48" s="554"/>
      <c r="F48" s="564">
        <v>240000</v>
      </c>
      <c r="G48" s="555"/>
      <c r="H48" s="553">
        <f t="shared" si="1"/>
        <v>240000</v>
      </c>
    </row>
    <row r="49" spans="1:8" ht="19.5" customHeight="1">
      <c r="A49" s="673"/>
      <c r="B49" s="723"/>
      <c r="C49" s="723"/>
      <c r="D49" s="508" t="s">
        <v>516</v>
      </c>
      <c r="E49" s="554"/>
      <c r="F49" s="564"/>
      <c r="G49" s="555"/>
      <c r="H49" s="553">
        <f t="shared" si="1"/>
        <v>0</v>
      </c>
    </row>
    <row r="50" spans="1:8" ht="19.5" customHeight="1">
      <c r="A50" s="673"/>
      <c r="B50" s="723"/>
      <c r="C50" s="723"/>
      <c r="D50" s="512" t="s">
        <v>514</v>
      </c>
      <c r="E50" s="554"/>
      <c r="F50" s="564">
        <f>F48-F49</f>
        <v>240000</v>
      </c>
      <c r="G50" s="555"/>
      <c r="H50" s="553">
        <f t="shared" si="1"/>
        <v>240000</v>
      </c>
    </row>
    <row r="51" spans="1:8" ht="19.5" customHeight="1">
      <c r="A51" s="673"/>
      <c r="B51" s="721" t="s">
        <v>582</v>
      </c>
      <c r="C51" s="721" t="s">
        <v>643</v>
      </c>
      <c r="D51" s="508" t="s">
        <v>512</v>
      </c>
      <c r="E51" s="554"/>
      <c r="F51" s="564">
        <v>800000</v>
      </c>
      <c r="G51" s="555"/>
      <c r="H51" s="553">
        <f t="shared" si="1"/>
        <v>800000</v>
      </c>
    </row>
    <row r="52" spans="1:8" ht="19.5" customHeight="1">
      <c r="A52" s="673"/>
      <c r="B52" s="673"/>
      <c r="C52" s="673"/>
      <c r="D52" s="508" t="s">
        <v>516</v>
      </c>
      <c r="E52" s="554"/>
      <c r="F52" s="564">
        <v>271280</v>
      </c>
      <c r="G52" s="555"/>
      <c r="H52" s="553">
        <f t="shared" si="1"/>
        <v>271280</v>
      </c>
    </row>
    <row r="53" spans="1:8" ht="19.5" customHeight="1">
      <c r="A53" s="722"/>
      <c r="B53" s="722"/>
      <c r="C53" s="722"/>
      <c r="D53" s="508" t="s">
        <v>514</v>
      </c>
      <c r="E53" s="554"/>
      <c r="F53" s="564">
        <f>F51-F52</f>
        <v>528720</v>
      </c>
      <c r="G53" s="555"/>
      <c r="H53" s="553">
        <f t="shared" si="1"/>
        <v>528720</v>
      </c>
    </row>
    <row r="54" spans="1:8" ht="19.5" customHeight="1">
      <c r="A54" s="721" t="s">
        <v>644</v>
      </c>
      <c r="B54" s="721" t="s">
        <v>645</v>
      </c>
      <c r="C54" s="721" t="s">
        <v>594</v>
      </c>
      <c r="D54" s="508" t="s">
        <v>512</v>
      </c>
      <c r="E54" s="554"/>
      <c r="F54" s="564"/>
      <c r="G54" s="555"/>
      <c r="H54" s="553">
        <f t="shared" si="1"/>
        <v>0</v>
      </c>
    </row>
    <row r="55" spans="1:8" ht="19.5" customHeight="1">
      <c r="A55" s="673"/>
      <c r="B55" s="673"/>
      <c r="C55" s="673"/>
      <c r="D55" s="508" t="s">
        <v>516</v>
      </c>
      <c r="E55" s="554"/>
      <c r="F55" s="564"/>
      <c r="G55" s="555"/>
      <c r="H55" s="553">
        <f t="shared" si="1"/>
        <v>0</v>
      </c>
    </row>
    <row r="56" spans="1:8" ht="19.5" customHeight="1">
      <c r="A56" s="722"/>
      <c r="B56" s="722"/>
      <c r="C56" s="722"/>
      <c r="D56" s="508" t="s">
        <v>514</v>
      </c>
      <c r="E56" s="554"/>
      <c r="F56" s="564"/>
      <c r="G56" s="555"/>
      <c r="H56" s="553">
        <f t="shared" si="1"/>
        <v>0</v>
      </c>
    </row>
    <row r="57" spans="1:8" ht="19.5" customHeight="1">
      <c r="A57" s="721" t="s">
        <v>646</v>
      </c>
      <c r="B57" s="721" t="s">
        <v>646</v>
      </c>
      <c r="C57" s="721" t="s">
        <v>646</v>
      </c>
      <c r="D57" s="508" t="s">
        <v>512</v>
      </c>
      <c r="E57" s="554"/>
      <c r="F57" s="564">
        <v>4510000</v>
      </c>
      <c r="G57" s="555"/>
      <c r="H57" s="553">
        <f t="shared" si="1"/>
        <v>4510000</v>
      </c>
    </row>
    <row r="58" spans="1:8" ht="19.5" customHeight="1">
      <c r="A58" s="673"/>
      <c r="B58" s="673"/>
      <c r="C58" s="673"/>
      <c r="D58" s="508" t="s">
        <v>516</v>
      </c>
      <c r="E58" s="554"/>
      <c r="F58" s="564">
        <v>4663900</v>
      </c>
      <c r="G58" s="555"/>
      <c r="H58" s="553">
        <f t="shared" si="1"/>
        <v>4663900</v>
      </c>
    </row>
    <row r="59" spans="1:8" ht="19.5" customHeight="1">
      <c r="A59" s="722"/>
      <c r="B59" s="722"/>
      <c r="C59" s="722"/>
      <c r="D59" s="508" t="s">
        <v>514</v>
      </c>
      <c r="E59" s="554"/>
      <c r="F59" s="564">
        <f>F57-F58</f>
        <v>-153900</v>
      </c>
      <c r="G59" s="555"/>
      <c r="H59" s="553">
        <f t="shared" si="1"/>
        <v>-153900</v>
      </c>
    </row>
    <row r="60" spans="1:8" ht="19.5" customHeight="1">
      <c r="A60" s="721" t="s">
        <v>602</v>
      </c>
      <c r="B60" s="721" t="s">
        <v>602</v>
      </c>
      <c r="C60" s="721" t="s">
        <v>647</v>
      </c>
      <c r="D60" s="508" t="s">
        <v>512</v>
      </c>
      <c r="E60" s="554"/>
      <c r="F60" s="564">
        <v>12000000</v>
      </c>
      <c r="G60" s="555"/>
      <c r="H60" s="553">
        <f t="shared" si="1"/>
        <v>12000000</v>
      </c>
    </row>
    <row r="61" spans="1:8" ht="19.5" customHeight="1">
      <c r="A61" s="673"/>
      <c r="B61" s="673"/>
      <c r="C61" s="673"/>
      <c r="D61" s="508" t="s">
        <v>516</v>
      </c>
      <c r="E61" s="554"/>
      <c r="F61" s="564">
        <v>12000000</v>
      </c>
      <c r="G61" s="555"/>
      <c r="H61" s="553">
        <f t="shared" si="1"/>
        <v>12000000</v>
      </c>
    </row>
    <row r="62" spans="1:8" ht="19.5" customHeight="1">
      <c r="A62" s="722"/>
      <c r="B62" s="722"/>
      <c r="C62" s="722"/>
      <c r="D62" s="508" t="s">
        <v>514</v>
      </c>
      <c r="E62" s="554"/>
      <c r="F62" s="564">
        <f>F60-F61</f>
        <v>0</v>
      </c>
      <c r="G62" s="555"/>
      <c r="H62" s="553">
        <f t="shared" si="1"/>
        <v>0</v>
      </c>
    </row>
    <row r="63" spans="1:8" ht="19.5" customHeight="1">
      <c r="A63" s="721" t="s">
        <v>648</v>
      </c>
      <c r="B63" s="721" t="s">
        <v>649</v>
      </c>
      <c r="C63" s="721" t="s">
        <v>650</v>
      </c>
      <c r="D63" s="565" t="s">
        <v>651</v>
      </c>
      <c r="E63" s="554"/>
      <c r="F63" s="564"/>
      <c r="G63" s="555"/>
      <c r="H63" s="553">
        <f t="shared" si="1"/>
        <v>0</v>
      </c>
    </row>
    <row r="64" spans="1:8" ht="19.5" customHeight="1">
      <c r="A64" s="673"/>
      <c r="B64" s="673"/>
      <c r="C64" s="673"/>
      <c r="D64" s="566" t="s">
        <v>652</v>
      </c>
      <c r="E64" s="554"/>
      <c r="F64" s="564"/>
      <c r="G64" s="555"/>
      <c r="H64" s="553">
        <f t="shared" si="1"/>
        <v>0</v>
      </c>
    </row>
    <row r="65" spans="1:10" ht="19.5" customHeight="1">
      <c r="A65" s="722"/>
      <c r="B65" s="722"/>
      <c r="C65" s="722"/>
      <c r="D65" s="566" t="s">
        <v>653</v>
      </c>
      <c r="E65" s="554"/>
      <c r="F65" s="564"/>
      <c r="G65" s="555"/>
      <c r="H65" s="553">
        <f t="shared" si="1"/>
        <v>0</v>
      </c>
    </row>
    <row r="66" spans="1:10" ht="19.5" customHeight="1">
      <c r="A66" s="721" t="s">
        <v>654</v>
      </c>
      <c r="B66" s="721" t="s">
        <v>654</v>
      </c>
      <c r="C66" s="721" t="s">
        <v>654</v>
      </c>
      <c r="D66" s="508" t="s">
        <v>651</v>
      </c>
      <c r="E66" s="554"/>
      <c r="F66" s="564"/>
      <c r="G66" s="555"/>
      <c r="H66" s="553">
        <f t="shared" si="1"/>
        <v>0</v>
      </c>
    </row>
    <row r="67" spans="1:10" ht="19.5" customHeight="1">
      <c r="A67" s="673"/>
      <c r="B67" s="673"/>
      <c r="C67" s="673"/>
      <c r="D67" s="508" t="s">
        <v>652</v>
      </c>
      <c r="E67" s="554"/>
      <c r="F67" s="564">
        <v>3238420</v>
      </c>
      <c r="G67" s="555"/>
      <c r="H67" s="553">
        <f t="shared" si="1"/>
        <v>3238420</v>
      </c>
    </row>
    <row r="68" spans="1:10" ht="19.5" customHeight="1">
      <c r="A68" s="722"/>
      <c r="B68" s="722"/>
      <c r="C68" s="722"/>
      <c r="D68" s="508" t="s">
        <v>653</v>
      </c>
      <c r="E68" s="554"/>
      <c r="F68" s="564">
        <f>F66-F67</f>
        <v>-3238420</v>
      </c>
      <c r="G68" s="555"/>
      <c r="H68" s="553">
        <f t="shared" si="1"/>
        <v>-3238420</v>
      </c>
    </row>
    <row r="69" spans="1:10" ht="19.5" customHeight="1">
      <c r="A69" s="721" t="s">
        <v>606</v>
      </c>
      <c r="B69" s="721" t="s">
        <v>606</v>
      </c>
      <c r="C69" s="721" t="s">
        <v>606</v>
      </c>
      <c r="D69" s="508" t="s">
        <v>512</v>
      </c>
      <c r="E69" s="554"/>
      <c r="F69" s="564"/>
      <c r="G69" s="555"/>
      <c r="H69" s="553">
        <f t="shared" si="1"/>
        <v>0</v>
      </c>
    </row>
    <row r="70" spans="1:10" ht="19.5" customHeight="1">
      <c r="A70" s="673"/>
      <c r="B70" s="673"/>
      <c r="C70" s="673"/>
      <c r="D70" s="508" t="s">
        <v>516</v>
      </c>
      <c r="E70" s="554"/>
      <c r="F70" s="564"/>
      <c r="G70" s="555"/>
      <c r="H70" s="553">
        <f t="shared" si="1"/>
        <v>0</v>
      </c>
    </row>
    <row r="71" spans="1:10" ht="19.5" customHeight="1">
      <c r="A71" s="722"/>
      <c r="B71" s="722"/>
      <c r="C71" s="722"/>
      <c r="D71" s="508" t="s">
        <v>514</v>
      </c>
      <c r="E71" s="554"/>
      <c r="F71" s="564"/>
      <c r="G71" s="555"/>
      <c r="H71" s="553">
        <f t="shared" si="1"/>
        <v>0</v>
      </c>
    </row>
    <row r="72" spans="1:10" ht="16.899999999999999" customHeight="1">
      <c r="A72" s="721" t="s">
        <v>655</v>
      </c>
      <c r="B72" s="721" t="s">
        <v>655</v>
      </c>
      <c r="C72" s="721" t="s">
        <v>655</v>
      </c>
      <c r="D72" s="508" t="s">
        <v>512</v>
      </c>
      <c r="E72" s="554"/>
      <c r="F72" s="564"/>
      <c r="G72" s="555"/>
      <c r="H72" s="553">
        <f t="shared" si="1"/>
        <v>0</v>
      </c>
    </row>
    <row r="73" spans="1:10" ht="16.899999999999999" customHeight="1">
      <c r="A73" s="673"/>
      <c r="B73" s="673"/>
      <c r="C73" s="673"/>
      <c r="D73" s="508" t="s">
        <v>516</v>
      </c>
      <c r="E73" s="554"/>
      <c r="F73" s="564"/>
      <c r="G73" s="555"/>
      <c r="H73" s="553">
        <f t="shared" si="1"/>
        <v>0</v>
      </c>
    </row>
    <row r="74" spans="1:10" ht="16.899999999999999" customHeight="1">
      <c r="A74" s="722"/>
      <c r="B74" s="722"/>
      <c r="C74" s="722"/>
      <c r="D74" s="508" t="s">
        <v>514</v>
      </c>
      <c r="E74" s="554"/>
      <c r="F74" s="564"/>
      <c r="G74" s="555"/>
      <c r="H74" s="553">
        <f t="shared" si="1"/>
        <v>0</v>
      </c>
    </row>
    <row r="75" spans="1:10" ht="16.899999999999999" customHeight="1">
      <c r="A75" s="721" t="s">
        <v>548</v>
      </c>
      <c r="B75" s="721" t="s">
        <v>548</v>
      </c>
      <c r="C75" s="721" t="s">
        <v>548</v>
      </c>
      <c r="D75" s="508" t="s">
        <v>512</v>
      </c>
      <c r="E75" s="554"/>
      <c r="F75" s="554"/>
      <c r="G75" s="555"/>
      <c r="H75" s="567"/>
    </row>
    <row r="76" spans="1:10" ht="16.899999999999999" customHeight="1">
      <c r="A76" s="673"/>
      <c r="B76" s="673"/>
      <c r="C76" s="673"/>
      <c r="D76" s="508" t="s">
        <v>516</v>
      </c>
      <c r="E76" s="554"/>
      <c r="F76" s="554">
        <v>6223829</v>
      </c>
      <c r="G76" s="555"/>
      <c r="H76" s="554">
        <f>SUM(F76:G76)</f>
        <v>6223829</v>
      </c>
    </row>
    <row r="77" spans="1:10" ht="16.899999999999999" customHeight="1">
      <c r="A77" s="722"/>
      <c r="B77" s="722"/>
      <c r="C77" s="722"/>
      <c r="D77" s="508" t="s">
        <v>653</v>
      </c>
      <c r="E77" s="554"/>
      <c r="F77" s="554"/>
      <c r="G77" s="555"/>
      <c r="H77" s="567"/>
    </row>
    <row r="78" spans="1:10" s="560" customFormat="1" ht="16.899999999999999" customHeight="1">
      <c r="A78" s="715" t="s">
        <v>656</v>
      </c>
      <c r="B78" s="716"/>
      <c r="C78" s="717"/>
      <c r="D78" s="556" t="s">
        <v>651</v>
      </c>
      <c r="E78" s="557"/>
      <c r="F78" s="568">
        <v>55000000</v>
      </c>
      <c r="G78" s="558"/>
      <c r="H78" s="559">
        <f>SUM(E78:G78)</f>
        <v>55000000</v>
      </c>
      <c r="J78" s="561"/>
    </row>
    <row r="79" spans="1:10" s="560" customFormat="1" ht="19.5" customHeight="1">
      <c r="A79" s="715"/>
      <c r="B79" s="716"/>
      <c r="C79" s="717"/>
      <c r="D79" s="556" t="s">
        <v>652</v>
      </c>
      <c r="E79" s="557"/>
      <c r="F79" s="568">
        <f>F46+F49+F52+F58+F61+F67+F76</f>
        <v>65596113</v>
      </c>
      <c r="G79" s="558"/>
      <c r="H79" s="559">
        <f>SUM(E79:G79)</f>
        <v>65596113</v>
      </c>
    </row>
    <row r="80" spans="1:10" s="560" customFormat="1" ht="19.5" customHeight="1">
      <c r="A80" s="718"/>
      <c r="B80" s="719"/>
      <c r="C80" s="720"/>
      <c r="D80" s="562" t="s">
        <v>653</v>
      </c>
      <c r="E80" s="557"/>
      <c r="F80" s="568">
        <f>F78-F79</f>
        <v>-10596113</v>
      </c>
      <c r="G80" s="558"/>
      <c r="H80" s="559">
        <f t="shared" si="1"/>
        <v>-10596113</v>
      </c>
      <c r="J80" s="561"/>
    </row>
  </sheetData>
  <mergeCells count="78">
    <mergeCell ref="A7:H7"/>
    <mergeCell ref="A1:B1"/>
    <mergeCell ref="A2:H2"/>
    <mergeCell ref="A3:H3"/>
    <mergeCell ref="A4:H4"/>
    <mergeCell ref="A5:H5"/>
    <mergeCell ref="A8:H8"/>
    <mergeCell ref="A9:H9"/>
    <mergeCell ref="A10:C10"/>
    <mergeCell ref="D10:D11"/>
    <mergeCell ref="E10:E11"/>
    <mergeCell ref="F10:F11"/>
    <mergeCell ref="G10:G11"/>
    <mergeCell ref="H10:H11"/>
    <mergeCell ref="A12:A14"/>
    <mergeCell ref="B12:B14"/>
    <mergeCell ref="C12:C14"/>
    <mergeCell ref="A15:A17"/>
    <mergeCell ref="B15:B17"/>
    <mergeCell ref="C15:C17"/>
    <mergeCell ref="A18:A20"/>
    <mergeCell ref="B18:B20"/>
    <mergeCell ref="C18:C20"/>
    <mergeCell ref="A21:A23"/>
    <mergeCell ref="B21:B23"/>
    <mergeCell ref="C21:C23"/>
    <mergeCell ref="A40:H40"/>
    <mergeCell ref="A24:A26"/>
    <mergeCell ref="B24:B26"/>
    <mergeCell ref="C24:C26"/>
    <mergeCell ref="A27:A29"/>
    <mergeCell ref="B27:B29"/>
    <mergeCell ref="C27:C29"/>
    <mergeCell ref="A30:A35"/>
    <mergeCell ref="B30:B35"/>
    <mergeCell ref="C30:C32"/>
    <mergeCell ref="C33:C35"/>
    <mergeCell ref="A36:C38"/>
    <mergeCell ref="A41:H41"/>
    <mergeCell ref="A42:H42"/>
    <mergeCell ref="A43:C43"/>
    <mergeCell ref="D43:D44"/>
    <mergeCell ref="E43:E44"/>
    <mergeCell ref="F43:F44"/>
    <mergeCell ref="G43:G44"/>
    <mergeCell ref="H43:H44"/>
    <mergeCell ref="A45:A53"/>
    <mergeCell ref="B45:B47"/>
    <mergeCell ref="C45:C47"/>
    <mergeCell ref="B48:B50"/>
    <mergeCell ref="C48:C50"/>
    <mergeCell ref="B51:B53"/>
    <mergeCell ref="C51:C53"/>
    <mergeCell ref="A54:A56"/>
    <mergeCell ref="B54:B56"/>
    <mergeCell ref="C54:C56"/>
    <mergeCell ref="A57:A59"/>
    <mergeCell ref="B57:B59"/>
    <mergeCell ref="C57:C59"/>
    <mergeCell ref="A60:A62"/>
    <mergeCell ref="B60:B62"/>
    <mergeCell ref="C60:C62"/>
    <mergeCell ref="A63:A65"/>
    <mergeCell ref="B63:B65"/>
    <mergeCell ref="C63:C65"/>
    <mergeCell ref="A66:A68"/>
    <mergeCell ref="B66:B68"/>
    <mergeCell ref="C66:C68"/>
    <mergeCell ref="A69:A71"/>
    <mergeCell ref="B69:B71"/>
    <mergeCell ref="C69:C71"/>
    <mergeCell ref="A78:C80"/>
    <mergeCell ref="A72:A74"/>
    <mergeCell ref="B72:B74"/>
    <mergeCell ref="C72:C74"/>
    <mergeCell ref="A75:A77"/>
    <mergeCell ref="B75:B77"/>
    <mergeCell ref="C75:C77"/>
  </mergeCells>
  <phoneticPr fontId="3" type="noConversion"/>
  <pageMargins left="0.25" right="0.25" top="0.75" bottom="0.75" header="0.3" footer="0.3"/>
  <pageSetup paperSize="9" scale="86" fitToHeight="0" orientation="portrait" r:id="rId1"/>
  <rowBreaks count="1" manualBreakCount="1">
    <brk id="38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view="pageBreakPreview" topLeftCell="A37" zoomScaleNormal="100" zoomScaleSheetLayoutView="100" workbookViewId="0">
      <selection activeCell="F52" sqref="F52"/>
    </sheetView>
  </sheetViews>
  <sheetFormatPr defaultRowHeight="16.5"/>
  <cols>
    <col min="1" max="1" width="5" style="310" bestFit="1" customWidth="1"/>
    <col min="2" max="3" width="9" style="310"/>
    <col min="4" max="4" width="11.75" style="310" customWidth="1"/>
    <col min="5" max="6" width="15" style="310" bestFit="1" customWidth="1"/>
    <col min="7" max="7" width="12.375" style="310" bestFit="1" customWidth="1"/>
    <col min="8" max="8" width="11.25" style="310" customWidth="1"/>
    <col min="9" max="9" width="11" style="310" customWidth="1"/>
    <col min="10" max="10" width="10.375" style="310" customWidth="1"/>
    <col min="11" max="12" width="15" style="310" bestFit="1" customWidth="1"/>
    <col min="13" max="13" width="12.375" style="310" bestFit="1" customWidth="1"/>
    <col min="14" max="256" width="9" style="310"/>
    <col min="257" max="257" width="5" style="310" bestFit="1" customWidth="1"/>
    <col min="258" max="259" width="9" style="310"/>
    <col min="260" max="260" width="11.75" style="310" customWidth="1"/>
    <col min="261" max="262" width="15" style="310" bestFit="1" customWidth="1"/>
    <col min="263" max="263" width="12.375" style="310" bestFit="1" customWidth="1"/>
    <col min="264" max="266" width="9" style="310"/>
    <col min="267" max="268" width="15" style="310" bestFit="1" customWidth="1"/>
    <col min="269" max="269" width="12.375" style="310" bestFit="1" customWidth="1"/>
    <col min="270" max="512" width="9" style="310"/>
    <col min="513" max="513" width="5" style="310" bestFit="1" customWidth="1"/>
    <col min="514" max="515" width="9" style="310"/>
    <col min="516" max="516" width="11.75" style="310" customWidth="1"/>
    <col min="517" max="518" width="15" style="310" bestFit="1" customWidth="1"/>
    <col min="519" max="519" width="12.375" style="310" bestFit="1" customWidth="1"/>
    <col min="520" max="522" width="9" style="310"/>
    <col min="523" max="524" width="15" style="310" bestFit="1" customWidth="1"/>
    <col min="525" max="525" width="12.375" style="310" bestFit="1" customWidth="1"/>
    <col min="526" max="768" width="9" style="310"/>
    <col min="769" max="769" width="5" style="310" bestFit="1" customWidth="1"/>
    <col min="770" max="771" width="9" style="310"/>
    <col min="772" max="772" width="11.75" style="310" customWidth="1"/>
    <col min="773" max="774" width="15" style="310" bestFit="1" customWidth="1"/>
    <col min="775" max="775" width="12.375" style="310" bestFit="1" customWidth="1"/>
    <col min="776" max="778" width="9" style="310"/>
    <col min="779" max="780" width="15" style="310" bestFit="1" customWidth="1"/>
    <col min="781" max="781" width="12.375" style="310" bestFit="1" customWidth="1"/>
    <col min="782" max="1024" width="9" style="310"/>
    <col min="1025" max="1025" width="5" style="310" bestFit="1" customWidth="1"/>
    <col min="1026" max="1027" width="9" style="310"/>
    <col min="1028" max="1028" width="11.75" style="310" customWidth="1"/>
    <col min="1029" max="1030" width="15" style="310" bestFit="1" customWidth="1"/>
    <col min="1031" max="1031" width="12.375" style="310" bestFit="1" customWidth="1"/>
    <col min="1032" max="1034" width="9" style="310"/>
    <col min="1035" max="1036" width="15" style="310" bestFit="1" customWidth="1"/>
    <col min="1037" max="1037" width="12.375" style="310" bestFit="1" customWidth="1"/>
    <col min="1038" max="1280" width="9" style="310"/>
    <col min="1281" max="1281" width="5" style="310" bestFit="1" customWidth="1"/>
    <col min="1282" max="1283" width="9" style="310"/>
    <col min="1284" max="1284" width="11.75" style="310" customWidth="1"/>
    <col min="1285" max="1286" width="15" style="310" bestFit="1" customWidth="1"/>
    <col min="1287" max="1287" width="12.375" style="310" bestFit="1" customWidth="1"/>
    <col min="1288" max="1290" width="9" style="310"/>
    <col min="1291" max="1292" width="15" style="310" bestFit="1" customWidth="1"/>
    <col min="1293" max="1293" width="12.375" style="310" bestFit="1" customWidth="1"/>
    <col min="1294" max="1536" width="9" style="310"/>
    <col min="1537" max="1537" width="5" style="310" bestFit="1" customWidth="1"/>
    <col min="1538" max="1539" width="9" style="310"/>
    <col min="1540" max="1540" width="11.75" style="310" customWidth="1"/>
    <col min="1541" max="1542" width="15" style="310" bestFit="1" customWidth="1"/>
    <col min="1543" max="1543" width="12.375" style="310" bestFit="1" customWidth="1"/>
    <col min="1544" max="1546" width="9" style="310"/>
    <col min="1547" max="1548" width="15" style="310" bestFit="1" customWidth="1"/>
    <col min="1549" max="1549" width="12.375" style="310" bestFit="1" customWidth="1"/>
    <col min="1550" max="1792" width="9" style="310"/>
    <col min="1793" max="1793" width="5" style="310" bestFit="1" customWidth="1"/>
    <col min="1794" max="1795" width="9" style="310"/>
    <col min="1796" max="1796" width="11.75" style="310" customWidth="1"/>
    <col min="1797" max="1798" width="15" style="310" bestFit="1" customWidth="1"/>
    <col min="1799" max="1799" width="12.375" style="310" bestFit="1" customWidth="1"/>
    <col min="1800" max="1802" width="9" style="310"/>
    <col min="1803" max="1804" width="15" style="310" bestFit="1" customWidth="1"/>
    <col min="1805" max="1805" width="12.375" style="310" bestFit="1" customWidth="1"/>
    <col min="1806" max="2048" width="9" style="310"/>
    <col min="2049" max="2049" width="5" style="310" bestFit="1" customWidth="1"/>
    <col min="2050" max="2051" width="9" style="310"/>
    <col min="2052" max="2052" width="11.75" style="310" customWidth="1"/>
    <col min="2053" max="2054" width="15" style="310" bestFit="1" customWidth="1"/>
    <col min="2055" max="2055" width="12.375" style="310" bestFit="1" customWidth="1"/>
    <col min="2056" max="2058" width="9" style="310"/>
    <col min="2059" max="2060" width="15" style="310" bestFit="1" customWidth="1"/>
    <col min="2061" max="2061" width="12.375" style="310" bestFit="1" customWidth="1"/>
    <col min="2062" max="2304" width="9" style="310"/>
    <col min="2305" max="2305" width="5" style="310" bestFit="1" customWidth="1"/>
    <col min="2306" max="2307" width="9" style="310"/>
    <col min="2308" max="2308" width="11.75" style="310" customWidth="1"/>
    <col min="2309" max="2310" width="15" style="310" bestFit="1" customWidth="1"/>
    <col min="2311" max="2311" width="12.375" style="310" bestFit="1" customWidth="1"/>
    <col min="2312" max="2314" width="9" style="310"/>
    <col min="2315" max="2316" width="15" style="310" bestFit="1" customWidth="1"/>
    <col min="2317" max="2317" width="12.375" style="310" bestFit="1" customWidth="1"/>
    <col min="2318" max="2560" width="9" style="310"/>
    <col min="2561" max="2561" width="5" style="310" bestFit="1" customWidth="1"/>
    <col min="2562" max="2563" width="9" style="310"/>
    <col min="2564" max="2564" width="11.75" style="310" customWidth="1"/>
    <col min="2565" max="2566" width="15" style="310" bestFit="1" customWidth="1"/>
    <col min="2567" max="2567" width="12.375" style="310" bestFit="1" customWidth="1"/>
    <col min="2568" max="2570" width="9" style="310"/>
    <col min="2571" max="2572" width="15" style="310" bestFit="1" customWidth="1"/>
    <col min="2573" max="2573" width="12.375" style="310" bestFit="1" customWidth="1"/>
    <col min="2574" max="2816" width="9" style="310"/>
    <col min="2817" max="2817" width="5" style="310" bestFit="1" customWidth="1"/>
    <col min="2818" max="2819" width="9" style="310"/>
    <col min="2820" max="2820" width="11.75" style="310" customWidth="1"/>
    <col min="2821" max="2822" width="15" style="310" bestFit="1" customWidth="1"/>
    <col min="2823" max="2823" width="12.375" style="310" bestFit="1" customWidth="1"/>
    <col min="2824" max="2826" width="9" style="310"/>
    <col min="2827" max="2828" width="15" style="310" bestFit="1" customWidth="1"/>
    <col min="2829" max="2829" width="12.375" style="310" bestFit="1" customWidth="1"/>
    <col min="2830" max="3072" width="9" style="310"/>
    <col min="3073" max="3073" width="5" style="310" bestFit="1" customWidth="1"/>
    <col min="3074" max="3075" width="9" style="310"/>
    <col min="3076" max="3076" width="11.75" style="310" customWidth="1"/>
    <col min="3077" max="3078" width="15" style="310" bestFit="1" customWidth="1"/>
    <col min="3079" max="3079" width="12.375" style="310" bestFit="1" customWidth="1"/>
    <col min="3080" max="3082" width="9" style="310"/>
    <col min="3083" max="3084" width="15" style="310" bestFit="1" customWidth="1"/>
    <col min="3085" max="3085" width="12.375" style="310" bestFit="1" customWidth="1"/>
    <col min="3086" max="3328" width="9" style="310"/>
    <col min="3329" max="3329" width="5" style="310" bestFit="1" customWidth="1"/>
    <col min="3330" max="3331" width="9" style="310"/>
    <col min="3332" max="3332" width="11.75" style="310" customWidth="1"/>
    <col min="3333" max="3334" width="15" style="310" bestFit="1" customWidth="1"/>
    <col min="3335" max="3335" width="12.375" style="310" bestFit="1" customWidth="1"/>
    <col min="3336" max="3338" width="9" style="310"/>
    <col min="3339" max="3340" width="15" style="310" bestFit="1" customWidth="1"/>
    <col min="3341" max="3341" width="12.375" style="310" bestFit="1" customWidth="1"/>
    <col min="3342" max="3584" width="9" style="310"/>
    <col min="3585" max="3585" width="5" style="310" bestFit="1" customWidth="1"/>
    <col min="3586" max="3587" width="9" style="310"/>
    <col min="3588" max="3588" width="11.75" style="310" customWidth="1"/>
    <col min="3589" max="3590" width="15" style="310" bestFit="1" customWidth="1"/>
    <col min="3591" max="3591" width="12.375" style="310" bestFit="1" customWidth="1"/>
    <col min="3592" max="3594" width="9" style="310"/>
    <col min="3595" max="3596" width="15" style="310" bestFit="1" customWidth="1"/>
    <col min="3597" max="3597" width="12.375" style="310" bestFit="1" customWidth="1"/>
    <col min="3598" max="3840" width="9" style="310"/>
    <col min="3841" max="3841" width="5" style="310" bestFit="1" customWidth="1"/>
    <col min="3842" max="3843" width="9" style="310"/>
    <col min="3844" max="3844" width="11.75" style="310" customWidth="1"/>
    <col min="3845" max="3846" width="15" style="310" bestFit="1" customWidth="1"/>
    <col min="3847" max="3847" width="12.375" style="310" bestFit="1" customWidth="1"/>
    <col min="3848" max="3850" width="9" style="310"/>
    <col min="3851" max="3852" width="15" style="310" bestFit="1" customWidth="1"/>
    <col min="3853" max="3853" width="12.375" style="310" bestFit="1" customWidth="1"/>
    <col min="3854" max="4096" width="9" style="310"/>
    <col min="4097" max="4097" width="5" style="310" bestFit="1" customWidth="1"/>
    <col min="4098" max="4099" width="9" style="310"/>
    <col min="4100" max="4100" width="11.75" style="310" customWidth="1"/>
    <col min="4101" max="4102" width="15" style="310" bestFit="1" customWidth="1"/>
    <col min="4103" max="4103" width="12.375" style="310" bestFit="1" customWidth="1"/>
    <col min="4104" max="4106" width="9" style="310"/>
    <col min="4107" max="4108" width="15" style="310" bestFit="1" customWidth="1"/>
    <col min="4109" max="4109" width="12.375" style="310" bestFit="1" customWidth="1"/>
    <col min="4110" max="4352" width="9" style="310"/>
    <col min="4353" max="4353" width="5" style="310" bestFit="1" customWidth="1"/>
    <col min="4354" max="4355" width="9" style="310"/>
    <col min="4356" max="4356" width="11.75" style="310" customWidth="1"/>
    <col min="4357" max="4358" width="15" style="310" bestFit="1" customWidth="1"/>
    <col min="4359" max="4359" width="12.375" style="310" bestFit="1" customWidth="1"/>
    <col min="4360" max="4362" width="9" style="310"/>
    <col min="4363" max="4364" width="15" style="310" bestFit="1" customWidth="1"/>
    <col min="4365" max="4365" width="12.375" style="310" bestFit="1" customWidth="1"/>
    <col min="4366" max="4608" width="9" style="310"/>
    <col min="4609" max="4609" width="5" style="310" bestFit="1" customWidth="1"/>
    <col min="4610" max="4611" width="9" style="310"/>
    <col min="4612" max="4612" width="11.75" style="310" customWidth="1"/>
    <col min="4613" max="4614" width="15" style="310" bestFit="1" customWidth="1"/>
    <col min="4615" max="4615" width="12.375" style="310" bestFit="1" customWidth="1"/>
    <col min="4616" max="4618" width="9" style="310"/>
    <col min="4619" max="4620" width="15" style="310" bestFit="1" customWidth="1"/>
    <col min="4621" max="4621" width="12.375" style="310" bestFit="1" customWidth="1"/>
    <col min="4622" max="4864" width="9" style="310"/>
    <col min="4865" max="4865" width="5" style="310" bestFit="1" customWidth="1"/>
    <col min="4866" max="4867" width="9" style="310"/>
    <col min="4868" max="4868" width="11.75" style="310" customWidth="1"/>
    <col min="4869" max="4870" width="15" style="310" bestFit="1" customWidth="1"/>
    <col min="4871" max="4871" width="12.375" style="310" bestFit="1" customWidth="1"/>
    <col min="4872" max="4874" width="9" style="310"/>
    <col min="4875" max="4876" width="15" style="310" bestFit="1" customWidth="1"/>
    <col min="4877" max="4877" width="12.375" style="310" bestFit="1" customWidth="1"/>
    <col min="4878" max="5120" width="9" style="310"/>
    <col min="5121" max="5121" width="5" style="310" bestFit="1" customWidth="1"/>
    <col min="5122" max="5123" width="9" style="310"/>
    <col min="5124" max="5124" width="11.75" style="310" customWidth="1"/>
    <col min="5125" max="5126" width="15" style="310" bestFit="1" customWidth="1"/>
    <col min="5127" max="5127" width="12.375" style="310" bestFit="1" customWidth="1"/>
    <col min="5128" max="5130" width="9" style="310"/>
    <col min="5131" max="5132" width="15" style="310" bestFit="1" customWidth="1"/>
    <col min="5133" max="5133" width="12.375" style="310" bestFit="1" customWidth="1"/>
    <col min="5134" max="5376" width="9" style="310"/>
    <col min="5377" max="5377" width="5" style="310" bestFit="1" customWidth="1"/>
    <col min="5378" max="5379" width="9" style="310"/>
    <col min="5380" max="5380" width="11.75" style="310" customWidth="1"/>
    <col min="5381" max="5382" width="15" style="310" bestFit="1" customWidth="1"/>
    <col min="5383" max="5383" width="12.375" style="310" bestFit="1" customWidth="1"/>
    <col min="5384" max="5386" width="9" style="310"/>
    <col min="5387" max="5388" width="15" style="310" bestFit="1" customWidth="1"/>
    <col min="5389" max="5389" width="12.375" style="310" bestFit="1" customWidth="1"/>
    <col min="5390" max="5632" width="9" style="310"/>
    <col min="5633" max="5633" width="5" style="310" bestFit="1" customWidth="1"/>
    <col min="5634" max="5635" width="9" style="310"/>
    <col min="5636" max="5636" width="11.75" style="310" customWidth="1"/>
    <col min="5637" max="5638" width="15" style="310" bestFit="1" customWidth="1"/>
    <col min="5639" max="5639" width="12.375" style="310" bestFit="1" customWidth="1"/>
    <col min="5640" max="5642" width="9" style="310"/>
    <col min="5643" max="5644" width="15" style="310" bestFit="1" customWidth="1"/>
    <col min="5645" max="5645" width="12.375" style="310" bestFit="1" customWidth="1"/>
    <col min="5646" max="5888" width="9" style="310"/>
    <col min="5889" max="5889" width="5" style="310" bestFit="1" customWidth="1"/>
    <col min="5890" max="5891" width="9" style="310"/>
    <col min="5892" max="5892" width="11.75" style="310" customWidth="1"/>
    <col min="5893" max="5894" width="15" style="310" bestFit="1" customWidth="1"/>
    <col min="5895" max="5895" width="12.375" style="310" bestFit="1" customWidth="1"/>
    <col min="5896" max="5898" width="9" style="310"/>
    <col min="5899" max="5900" width="15" style="310" bestFit="1" customWidth="1"/>
    <col min="5901" max="5901" width="12.375" style="310" bestFit="1" customWidth="1"/>
    <col min="5902" max="6144" width="9" style="310"/>
    <col min="6145" max="6145" width="5" style="310" bestFit="1" customWidth="1"/>
    <col min="6146" max="6147" width="9" style="310"/>
    <col min="6148" max="6148" width="11.75" style="310" customWidth="1"/>
    <col min="6149" max="6150" width="15" style="310" bestFit="1" customWidth="1"/>
    <col min="6151" max="6151" width="12.375" style="310" bestFit="1" customWidth="1"/>
    <col min="6152" max="6154" width="9" style="310"/>
    <col min="6155" max="6156" width="15" style="310" bestFit="1" customWidth="1"/>
    <col min="6157" max="6157" width="12.375" style="310" bestFit="1" customWidth="1"/>
    <col min="6158" max="6400" width="9" style="310"/>
    <col min="6401" max="6401" width="5" style="310" bestFit="1" customWidth="1"/>
    <col min="6402" max="6403" width="9" style="310"/>
    <col min="6404" max="6404" width="11.75" style="310" customWidth="1"/>
    <col min="6405" max="6406" width="15" style="310" bestFit="1" customWidth="1"/>
    <col min="6407" max="6407" width="12.375" style="310" bestFit="1" customWidth="1"/>
    <col min="6408" max="6410" width="9" style="310"/>
    <col min="6411" max="6412" width="15" style="310" bestFit="1" customWidth="1"/>
    <col min="6413" max="6413" width="12.375" style="310" bestFit="1" customWidth="1"/>
    <col min="6414" max="6656" width="9" style="310"/>
    <col min="6657" max="6657" width="5" style="310" bestFit="1" customWidth="1"/>
    <col min="6658" max="6659" width="9" style="310"/>
    <col min="6660" max="6660" width="11.75" style="310" customWidth="1"/>
    <col min="6661" max="6662" width="15" style="310" bestFit="1" customWidth="1"/>
    <col min="6663" max="6663" width="12.375" style="310" bestFit="1" customWidth="1"/>
    <col min="6664" max="6666" width="9" style="310"/>
    <col min="6667" max="6668" width="15" style="310" bestFit="1" customWidth="1"/>
    <col min="6669" max="6669" width="12.375" style="310" bestFit="1" customWidth="1"/>
    <col min="6670" max="6912" width="9" style="310"/>
    <col min="6913" max="6913" width="5" style="310" bestFit="1" customWidth="1"/>
    <col min="6914" max="6915" width="9" style="310"/>
    <col min="6916" max="6916" width="11.75" style="310" customWidth="1"/>
    <col min="6917" max="6918" width="15" style="310" bestFit="1" customWidth="1"/>
    <col min="6919" max="6919" width="12.375" style="310" bestFit="1" customWidth="1"/>
    <col min="6920" max="6922" width="9" style="310"/>
    <col min="6923" max="6924" width="15" style="310" bestFit="1" customWidth="1"/>
    <col min="6925" max="6925" width="12.375" style="310" bestFit="1" customWidth="1"/>
    <col min="6926" max="7168" width="9" style="310"/>
    <col min="7169" max="7169" width="5" style="310" bestFit="1" customWidth="1"/>
    <col min="7170" max="7171" width="9" style="310"/>
    <col min="7172" max="7172" width="11.75" style="310" customWidth="1"/>
    <col min="7173" max="7174" width="15" style="310" bestFit="1" customWidth="1"/>
    <col min="7175" max="7175" width="12.375" style="310" bestFit="1" customWidth="1"/>
    <col min="7176" max="7178" width="9" style="310"/>
    <col min="7179" max="7180" width="15" style="310" bestFit="1" customWidth="1"/>
    <col min="7181" max="7181" width="12.375" style="310" bestFit="1" customWidth="1"/>
    <col min="7182" max="7424" width="9" style="310"/>
    <col min="7425" max="7425" width="5" style="310" bestFit="1" customWidth="1"/>
    <col min="7426" max="7427" width="9" style="310"/>
    <col min="7428" max="7428" width="11.75" style="310" customWidth="1"/>
    <col min="7429" max="7430" width="15" style="310" bestFit="1" customWidth="1"/>
    <col min="7431" max="7431" width="12.375" style="310" bestFit="1" customWidth="1"/>
    <col min="7432" max="7434" width="9" style="310"/>
    <col min="7435" max="7436" width="15" style="310" bestFit="1" customWidth="1"/>
    <col min="7437" max="7437" width="12.375" style="310" bestFit="1" customWidth="1"/>
    <col min="7438" max="7680" width="9" style="310"/>
    <col min="7681" max="7681" width="5" style="310" bestFit="1" customWidth="1"/>
    <col min="7682" max="7683" width="9" style="310"/>
    <col min="7684" max="7684" width="11.75" style="310" customWidth="1"/>
    <col min="7685" max="7686" width="15" style="310" bestFit="1" customWidth="1"/>
    <col min="7687" max="7687" width="12.375" style="310" bestFit="1" customWidth="1"/>
    <col min="7688" max="7690" width="9" style="310"/>
    <col min="7691" max="7692" width="15" style="310" bestFit="1" customWidth="1"/>
    <col min="7693" max="7693" width="12.375" style="310" bestFit="1" customWidth="1"/>
    <col min="7694" max="7936" width="9" style="310"/>
    <col min="7937" max="7937" width="5" style="310" bestFit="1" customWidth="1"/>
    <col min="7938" max="7939" width="9" style="310"/>
    <col min="7940" max="7940" width="11.75" style="310" customWidth="1"/>
    <col min="7941" max="7942" width="15" style="310" bestFit="1" customWidth="1"/>
    <col min="7943" max="7943" width="12.375" style="310" bestFit="1" customWidth="1"/>
    <col min="7944" max="7946" width="9" style="310"/>
    <col min="7947" max="7948" width="15" style="310" bestFit="1" customWidth="1"/>
    <col min="7949" max="7949" width="12.375" style="310" bestFit="1" customWidth="1"/>
    <col min="7950" max="8192" width="9" style="310"/>
    <col min="8193" max="8193" width="5" style="310" bestFit="1" customWidth="1"/>
    <col min="8194" max="8195" width="9" style="310"/>
    <col min="8196" max="8196" width="11.75" style="310" customWidth="1"/>
    <col min="8197" max="8198" width="15" style="310" bestFit="1" customWidth="1"/>
    <col min="8199" max="8199" width="12.375" style="310" bestFit="1" customWidth="1"/>
    <col min="8200" max="8202" width="9" style="310"/>
    <col min="8203" max="8204" width="15" style="310" bestFit="1" customWidth="1"/>
    <col min="8205" max="8205" width="12.375" style="310" bestFit="1" customWidth="1"/>
    <col min="8206" max="8448" width="9" style="310"/>
    <col min="8449" max="8449" width="5" style="310" bestFit="1" customWidth="1"/>
    <col min="8450" max="8451" width="9" style="310"/>
    <col min="8452" max="8452" width="11.75" style="310" customWidth="1"/>
    <col min="8453" max="8454" width="15" style="310" bestFit="1" customWidth="1"/>
    <col min="8455" max="8455" width="12.375" style="310" bestFit="1" customWidth="1"/>
    <col min="8456" max="8458" width="9" style="310"/>
    <col min="8459" max="8460" width="15" style="310" bestFit="1" customWidth="1"/>
    <col min="8461" max="8461" width="12.375" style="310" bestFit="1" customWidth="1"/>
    <col min="8462" max="8704" width="9" style="310"/>
    <col min="8705" max="8705" width="5" style="310" bestFit="1" customWidth="1"/>
    <col min="8706" max="8707" width="9" style="310"/>
    <col min="8708" max="8708" width="11.75" style="310" customWidth="1"/>
    <col min="8709" max="8710" width="15" style="310" bestFit="1" customWidth="1"/>
    <col min="8711" max="8711" width="12.375" style="310" bestFit="1" customWidth="1"/>
    <col min="8712" max="8714" width="9" style="310"/>
    <col min="8715" max="8716" width="15" style="310" bestFit="1" customWidth="1"/>
    <col min="8717" max="8717" width="12.375" style="310" bestFit="1" customWidth="1"/>
    <col min="8718" max="8960" width="9" style="310"/>
    <col min="8961" max="8961" width="5" style="310" bestFit="1" customWidth="1"/>
    <col min="8962" max="8963" width="9" style="310"/>
    <col min="8964" max="8964" width="11.75" style="310" customWidth="1"/>
    <col min="8965" max="8966" width="15" style="310" bestFit="1" customWidth="1"/>
    <col min="8967" max="8967" width="12.375" style="310" bestFit="1" customWidth="1"/>
    <col min="8968" max="8970" width="9" style="310"/>
    <col min="8971" max="8972" width="15" style="310" bestFit="1" customWidth="1"/>
    <col min="8973" max="8973" width="12.375" style="310" bestFit="1" customWidth="1"/>
    <col min="8974" max="9216" width="9" style="310"/>
    <col min="9217" max="9217" width="5" style="310" bestFit="1" customWidth="1"/>
    <col min="9218" max="9219" width="9" style="310"/>
    <col min="9220" max="9220" width="11.75" style="310" customWidth="1"/>
    <col min="9221" max="9222" width="15" style="310" bestFit="1" customWidth="1"/>
    <col min="9223" max="9223" width="12.375" style="310" bestFit="1" customWidth="1"/>
    <col min="9224" max="9226" width="9" style="310"/>
    <col min="9227" max="9228" width="15" style="310" bestFit="1" customWidth="1"/>
    <col min="9229" max="9229" width="12.375" style="310" bestFit="1" customWidth="1"/>
    <col min="9230" max="9472" width="9" style="310"/>
    <col min="9473" max="9473" width="5" style="310" bestFit="1" customWidth="1"/>
    <col min="9474" max="9475" width="9" style="310"/>
    <col min="9476" max="9476" width="11.75" style="310" customWidth="1"/>
    <col min="9477" max="9478" width="15" style="310" bestFit="1" customWidth="1"/>
    <col min="9479" max="9479" width="12.375" style="310" bestFit="1" customWidth="1"/>
    <col min="9480" max="9482" width="9" style="310"/>
    <col min="9483" max="9484" width="15" style="310" bestFit="1" customWidth="1"/>
    <col min="9485" max="9485" width="12.375" style="310" bestFit="1" customWidth="1"/>
    <col min="9486" max="9728" width="9" style="310"/>
    <col min="9729" max="9729" width="5" style="310" bestFit="1" customWidth="1"/>
    <col min="9730" max="9731" width="9" style="310"/>
    <col min="9732" max="9732" width="11.75" style="310" customWidth="1"/>
    <col min="9733" max="9734" width="15" style="310" bestFit="1" customWidth="1"/>
    <col min="9735" max="9735" width="12.375" style="310" bestFit="1" customWidth="1"/>
    <col min="9736" max="9738" width="9" style="310"/>
    <col min="9739" max="9740" width="15" style="310" bestFit="1" customWidth="1"/>
    <col min="9741" max="9741" width="12.375" style="310" bestFit="1" customWidth="1"/>
    <col min="9742" max="9984" width="9" style="310"/>
    <col min="9985" max="9985" width="5" style="310" bestFit="1" customWidth="1"/>
    <col min="9986" max="9987" width="9" style="310"/>
    <col min="9988" max="9988" width="11.75" style="310" customWidth="1"/>
    <col min="9989" max="9990" width="15" style="310" bestFit="1" customWidth="1"/>
    <col min="9991" max="9991" width="12.375" style="310" bestFit="1" customWidth="1"/>
    <col min="9992" max="9994" width="9" style="310"/>
    <col min="9995" max="9996" width="15" style="310" bestFit="1" customWidth="1"/>
    <col min="9997" max="9997" width="12.375" style="310" bestFit="1" customWidth="1"/>
    <col min="9998" max="10240" width="9" style="310"/>
    <col min="10241" max="10241" width="5" style="310" bestFit="1" customWidth="1"/>
    <col min="10242" max="10243" width="9" style="310"/>
    <col min="10244" max="10244" width="11.75" style="310" customWidth="1"/>
    <col min="10245" max="10246" width="15" style="310" bestFit="1" customWidth="1"/>
    <col min="10247" max="10247" width="12.375" style="310" bestFit="1" customWidth="1"/>
    <col min="10248" max="10250" width="9" style="310"/>
    <col min="10251" max="10252" width="15" style="310" bestFit="1" customWidth="1"/>
    <col min="10253" max="10253" width="12.375" style="310" bestFit="1" customWidth="1"/>
    <col min="10254" max="10496" width="9" style="310"/>
    <col min="10497" max="10497" width="5" style="310" bestFit="1" customWidth="1"/>
    <col min="10498" max="10499" width="9" style="310"/>
    <col min="10500" max="10500" width="11.75" style="310" customWidth="1"/>
    <col min="10501" max="10502" width="15" style="310" bestFit="1" customWidth="1"/>
    <col min="10503" max="10503" width="12.375" style="310" bestFit="1" customWidth="1"/>
    <col min="10504" max="10506" width="9" style="310"/>
    <col min="10507" max="10508" width="15" style="310" bestFit="1" customWidth="1"/>
    <col min="10509" max="10509" width="12.375" style="310" bestFit="1" customWidth="1"/>
    <col min="10510" max="10752" width="9" style="310"/>
    <col min="10753" max="10753" width="5" style="310" bestFit="1" customWidth="1"/>
    <col min="10754" max="10755" width="9" style="310"/>
    <col min="10756" max="10756" width="11.75" style="310" customWidth="1"/>
    <col min="10757" max="10758" width="15" style="310" bestFit="1" customWidth="1"/>
    <col min="10759" max="10759" width="12.375" style="310" bestFit="1" customWidth="1"/>
    <col min="10760" max="10762" width="9" style="310"/>
    <col min="10763" max="10764" width="15" style="310" bestFit="1" customWidth="1"/>
    <col min="10765" max="10765" width="12.375" style="310" bestFit="1" customWidth="1"/>
    <col min="10766" max="11008" width="9" style="310"/>
    <col min="11009" max="11009" width="5" style="310" bestFit="1" customWidth="1"/>
    <col min="11010" max="11011" width="9" style="310"/>
    <col min="11012" max="11012" width="11.75" style="310" customWidth="1"/>
    <col min="11013" max="11014" width="15" style="310" bestFit="1" customWidth="1"/>
    <col min="11015" max="11015" width="12.375" style="310" bestFit="1" customWidth="1"/>
    <col min="11016" max="11018" width="9" style="310"/>
    <col min="11019" max="11020" width="15" style="310" bestFit="1" customWidth="1"/>
    <col min="11021" max="11021" width="12.375" style="310" bestFit="1" customWidth="1"/>
    <col min="11022" max="11264" width="9" style="310"/>
    <col min="11265" max="11265" width="5" style="310" bestFit="1" customWidth="1"/>
    <col min="11266" max="11267" width="9" style="310"/>
    <col min="11268" max="11268" width="11.75" style="310" customWidth="1"/>
    <col min="11269" max="11270" width="15" style="310" bestFit="1" customWidth="1"/>
    <col min="11271" max="11271" width="12.375" style="310" bestFit="1" customWidth="1"/>
    <col min="11272" max="11274" width="9" style="310"/>
    <col min="11275" max="11276" width="15" style="310" bestFit="1" customWidth="1"/>
    <col min="11277" max="11277" width="12.375" style="310" bestFit="1" customWidth="1"/>
    <col min="11278" max="11520" width="9" style="310"/>
    <col min="11521" max="11521" width="5" style="310" bestFit="1" customWidth="1"/>
    <col min="11522" max="11523" width="9" style="310"/>
    <col min="11524" max="11524" width="11.75" style="310" customWidth="1"/>
    <col min="11525" max="11526" width="15" style="310" bestFit="1" customWidth="1"/>
    <col min="11527" max="11527" width="12.375" style="310" bestFit="1" customWidth="1"/>
    <col min="11528" max="11530" width="9" style="310"/>
    <col min="11531" max="11532" width="15" style="310" bestFit="1" customWidth="1"/>
    <col min="11533" max="11533" width="12.375" style="310" bestFit="1" customWidth="1"/>
    <col min="11534" max="11776" width="9" style="310"/>
    <col min="11777" max="11777" width="5" style="310" bestFit="1" customWidth="1"/>
    <col min="11778" max="11779" width="9" style="310"/>
    <col min="11780" max="11780" width="11.75" style="310" customWidth="1"/>
    <col min="11781" max="11782" width="15" style="310" bestFit="1" customWidth="1"/>
    <col min="11783" max="11783" width="12.375" style="310" bestFit="1" customWidth="1"/>
    <col min="11784" max="11786" width="9" style="310"/>
    <col min="11787" max="11788" width="15" style="310" bestFit="1" customWidth="1"/>
    <col min="11789" max="11789" width="12.375" style="310" bestFit="1" customWidth="1"/>
    <col min="11790" max="12032" width="9" style="310"/>
    <col min="12033" max="12033" width="5" style="310" bestFit="1" customWidth="1"/>
    <col min="12034" max="12035" width="9" style="310"/>
    <col min="12036" max="12036" width="11.75" style="310" customWidth="1"/>
    <col min="12037" max="12038" width="15" style="310" bestFit="1" customWidth="1"/>
    <col min="12039" max="12039" width="12.375" style="310" bestFit="1" customWidth="1"/>
    <col min="12040" max="12042" width="9" style="310"/>
    <col min="12043" max="12044" width="15" style="310" bestFit="1" customWidth="1"/>
    <col min="12045" max="12045" width="12.375" style="310" bestFit="1" customWidth="1"/>
    <col min="12046" max="12288" width="9" style="310"/>
    <col min="12289" max="12289" width="5" style="310" bestFit="1" customWidth="1"/>
    <col min="12290" max="12291" width="9" style="310"/>
    <col min="12292" max="12292" width="11.75" style="310" customWidth="1"/>
    <col min="12293" max="12294" width="15" style="310" bestFit="1" customWidth="1"/>
    <col min="12295" max="12295" width="12.375" style="310" bestFit="1" customWidth="1"/>
    <col min="12296" max="12298" width="9" style="310"/>
    <col min="12299" max="12300" width="15" style="310" bestFit="1" customWidth="1"/>
    <col min="12301" max="12301" width="12.375" style="310" bestFit="1" customWidth="1"/>
    <col min="12302" max="12544" width="9" style="310"/>
    <col min="12545" max="12545" width="5" style="310" bestFit="1" customWidth="1"/>
    <col min="12546" max="12547" width="9" style="310"/>
    <col min="12548" max="12548" width="11.75" style="310" customWidth="1"/>
    <col min="12549" max="12550" width="15" style="310" bestFit="1" customWidth="1"/>
    <col min="12551" max="12551" width="12.375" style="310" bestFit="1" customWidth="1"/>
    <col min="12552" max="12554" width="9" style="310"/>
    <col min="12555" max="12556" width="15" style="310" bestFit="1" customWidth="1"/>
    <col min="12557" max="12557" width="12.375" style="310" bestFit="1" customWidth="1"/>
    <col min="12558" max="12800" width="9" style="310"/>
    <col min="12801" max="12801" width="5" style="310" bestFit="1" customWidth="1"/>
    <col min="12802" max="12803" width="9" style="310"/>
    <col min="12804" max="12804" width="11.75" style="310" customWidth="1"/>
    <col min="12805" max="12806" width="15" style="310" bestFit="1" customWidth="1"/>
    <col min="12807" max="12807" width="12.375" style="310" bestFit="1" customWidth="1"/>
    <col min="12808" max="12810" width="9" style="310"/>
    <col min="12811" max="12812" width="15" style="310" bestFit="1" customWidth="1"/>
    <col min="12813" max="12813" width="12.375" style="310" bestFit="1" customWidth="1"/>
    <col min="12814" max="13056" width="9" style="310"/>
    <col min="13057" max="13057" width="5" style="310" bestFit="1" customWidth="1"/>
    <col min="13058" max="13059" width="9" style="310"/>
    <col min="13060" max="13060" width="11.75" style="310" customWidth="1"/>
    <col min="13061" max="13062" width="15" style="310" bestFit="1" customWidth="1"/>
    <col min="13063" max="13063" width="12.375" style="310" bestFit="1" customWidth="1"/>
    <col min="13064" max="13066" width="9" style="310"/>
    <col min="13067" max="13068" width="15" style="310" bestFit="1" customWidth="1"/>
    <col min="13069" max="13069" width="12.375" style="310" bestFit="1" customWidth="1"/>
    <col min="13070" max="13312" width="9" style="310"/>
    <col min="13313" max="13313" width="5" style="310" bestFit="1" customWidth="1"/>
    <col min="13314" max="13315" width="9" style="310"/>
    <col min="13316" max="13316" width="11.75" style="310" customWidth="1"/>
    <col min="13317" max="13318" width="15" style="310" bestFit="1" customWidth="1"/>
    <col min="13319" max="13319" width="12.375" style="310" bestFit="1" customWidth="1"/>
    <col min="13320" max="13322" width="9" style="310"/>
    <col min="13323" max="13324" width="15" style="310" bestFit="1" customWidth="1"/>
    <col min="13325" max="13325" width="12.375" style="310" bestFit="1" customWidth="1"/>
    <col min="13326" max="13568" width="9" style="310"/>
    <col min="13569" max="13569" width="5" style="310" bestFit="1" customWidth="1"/>
    <col min="13570" max="13571" width="9" style="310"/>
    <col min="13572" max="13572" width="11.75" style="310" customWidth="1"/>
    <col min="13573" max="13574" width="15" style="310" bestFit="1" customWidth="1"/>
    <col min="13575" max="13575" width="12.375" style="310" bestFit="1" customWidth="1"/>
    <col min="13576" max="13578" width="9" style="310"/>
    <col min="13579" max="13580" width="15" style="310" bestFit="1" customWidth="1"/>
    <col min="13581" max="13581" width="12.375" style="310" bestFit="1" customWidth="1"/>
    <col min="13582" max="13824" width="9" style="310"/>
    <col min="13825" max="13825" width="5" style="310" bestFit="1" customWidth="1"/>
    <col min="13826" max="13827" width="9" style="310"/>
    <col min="13828" max="13828" width="11.75" style="310" customWidth="1"/>
    <col min="13829" max="13830" width="15" style="310" bestFit="1" customWidth="1"/>
    <col min="13831" max="13831" width="12.375" style="310" bestFit="1" customWidth="1"/>
    <col min="13832" max="13834" width="9" style="310"/>
    <col min="13835" max="13836" width="15" style="310" bestFit="1" customWidth="1"/>
    <col min="13837" max="13837" width="12.375" style="310" bestFit="1" customWidth="1"/>
    <col min="13838" max="14080" width="9" style="310"/>
    <col min="14081" max="14081" width="5" style="310" bestFit="1" customWidth="1"/>
    <col min="14082" max="14083" width="9" style="310"/>
    <col min="14084" max="14084" width="11.75" style="310" customWidth="1"/>
    <col min="14085" max="14086" width="15" style="310" bestFit="1" customWidth="1"/>
    <col min="14087" max="14087" width="12.375" style="310" bestFit="1" customWidth="1"/>
    <col min="14088" max="14090" width="9" style="310"/>
    <col min="14091" max="14092" width="15" style="310" bestFit="1" customWidth="1"/>
    <col min="14093" max="14093" width="12.375" style="310" bestFit="1" customWidth="1"/>
    <col min="14094" max="14336" width="9" style="310"/>
    <col min="14337" max="14337" width="5" style="310" bestFit="1" customWidth="1"/>
    <col min="14338" max="14339" width="9" style="310"/>
    <col min="14340" max="14340" width="11.75" style="310" customWidth="1"/>
    <col min="14341" max="14342" width="15" style="310" bestFit="1" customWidth="1"/>
    <col min="14343" max="14343" width="12.375" style="310" bestFit="1" customWidth="1"/>
    <col min="14344" max="14346" width="9" style="310"/>
    <col min="14347" max="14348" width="15" style="310" bestFit="1" customWidth="1"/>
    <col min="14349" max="14349" width="12.375" style="310" bestFit="1" customWidth="1"/>
    <col min="14350" max="14592" width="9" style="310"/>
    <col min="14593" max="14593" width="5" style="310" bestFit="1" customWidth="1"/>
    <col min="14594" max="14595" width="9" style="310"/>
    <col min="14596" max="14596" width="11.75" style="310" customWidth="1"/>
    <col min="14597" max="14598" width="15" style="310" bestFit="1" customWidth="1"/>
    <col min="14599" max="14599" width="12.375" style="310" bestFit="1" customWidth="1"/>
    <col min="14600" max="14602" width="9" style="310"/>
    <col min="14603" max="14604" width="15" style="310" bestFit="1" customWidth="1"/>
    <col min="14605" max="14605" width="12.375" style="310" bestFit="1" customWidth="1"/>
    <col min="14606" max="14848" width="9" style="310"/>
    <col min="14849" max="14849" width="5" style="310" bestFit="1" customWidth="1"/>
    <col min="14850" max="14851" width="9" style="310"/>
    <col min="14852" max="14852" width="11.75" style="310" customWidth="1"/>
    <col min="14853" max="14854" width="15" style="310" bestFit="1" customWidth="1"/>
    <col min="14855" max="14855" width="12.375" style="310" bestFit="1" customWidth="1"/>
    <col min="14856" max="14858" width="9" style="310"/>
    <col min="14859" max="14860" width="15" style="310" bestFit="1" customWidth="1"/>
    <col min="14861" max="14861" width="12.375" style="310" bestFit="1" customWidth="1"/>
    <col min="14862" max="15104" width="9" style="310"/>
    <col min="15105" max="15105" width="5" style="310" bestFit="1" customWidth="1"/>
    <col min="15106" max="15107" width="9" style="310"/>
    <col min="15108" max="15108" width="11.75" style="310" customWidth="1"/>
    <col min="15109" max="15110" width="15" style="310" bestFit="1" customWidth="1"/>
    <col min="15111" max="15111" width="12.375" style="310" bestFit="1" customWidth="1"/>
    <col min="15112" max="15114" width="9" style="310"/>
    <col min="15115" max="15116" width="15" style="310" bestFit="1" customWidth="1"/>
    <col min="15117" max="15117" width="12.375" style="310" bestFit="1" customWidth="1"/>
    <col min="15118" max="15360" width="9" style="310"/>
    <col min="15361" max="15361" width="5" style="310" bestFit="1" customWidth="1"/>
    <col min="15362" max="15363" width="9" style="310"/>
    <col min="15364" max="15364" width="11.75" style="310" customWidth="1"/>
    <col min="15365" max="15366" width="15" style="310" bestFit="1" customWidth="1"/>
    <col min="15367" max="15367" width="12.375" style="310" bestFit="1" customWidth="1"/>
    <col min="15368" max="15370" width="9" style="310"/>
    <col min="15371" max="15372" width="15" style="310" bestFit="1" customWidth="1"/>
    <col min="15373" max="15373" width="12.375" style="310" bestFit="1" customWidth="1"/>
    <col min="15374" max="15616" width="9" style="310"/>
    <col min="15617" max="15617" width="5" style="310" bestFit="1" customWidth="1"/>
    <col min="15618" max="15619" width="9" style="310"/>
    <col min="15620" max="15620" width="11.75" style="310" customWidth="1"/>
    <col min="15621" max="15622" width="15" style="310" bestFit="1" customWidth="1"/>
    <col min="15623" max="15623" width="12.375" style="310" bestFit="1" customWidth="1"/>
    <col min="15624" max="15626" width="9" style="310"/>
    <col min="15627" max="15628" width="15" style="310" bestFit="1" customWidth="1"/>
    <col min="15629" max="15629" width="12.375" style="310" bestFit="1" customWidth="1"/>
    <col min="15630" max="15872" width="9" style="310"/>
    <col min="15873" max="15873" width="5" style="310" bestFit="1" customWidth="1"/>
    <col min="15874" max="15875" width="9" style="310"/>
    <col min="15876" max="15876" width="11.75" style="310" customWidth="1"/>
    <col min="15877" max="15878" width="15" style="310" bestFit="1" customWidth="1"/>
    <col min="15879" max="15879" width="12.375" style="310" bestFit="1" customWidth="1"/>
    <col min="15880" max="15882" width="9" style="310"/>
    <col min="15883" max="15884" width="15" style="310" bestFit="1" customWidth="1"/>
    <col min="15885" max="15885" width="12.375" style="310" bestFit="1" customWidth="1"/>
    <col min="15886" max="16128" width="9" style="310"/>
    <col min="16129" max="16129" width="5" style="310" bestFit="1" customWidth="1"/>
    <col min="16130" max="16131" width="9" style="310"/>
    <col min="16132" max="16132" width="11.75" style="310" customWidth="1"/>
    <col min="16133" max="16134" width="15" style="310" bestFit="1" customWidth="1"/>
    <col min="16135" max="16135" width="12.375" style="310" bestFit="1" customWidth="1"/>
    <col min="16136" max="16138" width="9" style="310"/>
    <col min="16139" max="16140" width="15" style="310" bestFit="1" customWidth="1"/>
    <col min="16141" max="16141" width="12.375" style="310" bestFit="1" customWidth="1"/>
    <col min="16142" max="16384" width="9" style="310"/>
  </cols>
  <sheetData>
    <row r="1" spans="1:13">
      <c r="A1" s="822" t="s">
        <v>275</v>
      </c>
      <c r="B1" s="822"/>
    </row>
    <row r="2" spans="1:13">
      <c r="A2" s="823" t="s">
        <v>276</v>
      </c>
      <c r="B2" s="823"/>
      <c r="C2" s="824"/>
      <c r="D2" s="824"/>
      <c r="E2" s="311"/>
      <c r="F2" s="311"/>
    </row>
    <row r="3" spans="1:13" ht="25.5">
      <c r="A3" s="825" t="s">
        <v>277</v>
      </c>
      <c r="B3" s="825"/>
      <c r="C3" s="825"/>
      <c r="D3" s="825"/>
      <c r="E3" s="825"/>
      <c r="F3" s="825"/>
      <c r="G3" s="825"/>
      <c r="H3" s="825"/>
      <c r="I3" s="825"/>
      <c r="J3" s="825"/>
      <c r="K3" s="825"/>
      <c r="L3" s="825"/>
      <c r="M3" s="825"/>
    </row>
    <row r="4" spans="1:13" ht="30">
      <c r="A4" s="826" t="s">
        <v>278</v>
      </c>
      <c r="B4" s="826"/>
      <c r="C4" s="826"/>
      <c r="D4" s="826"/>
      <c r="E4" s="826"/>
      <c r="F4" s="826"/>
      <c r="G4" s="826"/>
      <c r="H4" s="826"/>
      <c r="I4" s="826"/>
      <c r="J4" s="826"/>
      <c r="K4" s="826"/>
      <c r="L4" s="826"/>
      <c r="M4" s="826"/>
    </row>
    <row r="5" spans="1:13" ht="19.5">
      <c r="A5" s="827" t="s">
        <v>279</v>
      </c>
      <c r="B5" s="827"/>
      <c r="C5" s="827"/>
      <c r="D5" s="827"/>
      <c r="E5" s="827"/>
      <c r="F5" s="827"/>
      <c r="G5" s="827"/>
      <c r="H5" s="827"/>
      <c r="I5" s="827"/>
      <c r="J5" s="827"/>
      <c r="K5" s="827"/>
      <c r="L5" s="827"/>
      <c r="M5" s="827"/>
    </row>
    <row r="6" spans="1:13" ht="18" thickBot="1">
      <c r="A6" s="809" t="s">
        <v>280</v>
      </c>
      <c r="B6" s="810"/>
      <c r="C6" s="810"/>
      <c r="D6" s="810"/>
      <c r="E6" s="810"/>
      <c r="F6" s="810"/>
      <c r="G6" s="810"/>
      <c r="H6" s="809"/>
      <c r="I6" s="809"/>
      <c r="J6" s="809"/>
      <c r="K6" s="809"/>
      <c r="L6" s="809"/>
      <c r="M6" s="809"/>
    </row>
    <row r="7" spans="1:13">
      <c r="A7" s="802" t="s">
        <v>6</v>
      </c>
      <c r="B7" s="812" t="s">
        <v>7</v>
      </c>
      <c r="C7" s="813"/>
      <c r="D7" s="813"/>
      <c r="E7" s="813"/>
      <c r="F7" s="813"/>
      <c r="G7" s="814"/>
      <c r="H7" s="815" t="s">
        <v>8</v>
      </c>
      <c r="I7" s="815"/>
      <c r="J7" s="815"/>
      <c r="K7" s="815"/>
      <c r="L7" s="815"/>
      <c r="M7" s="816"/>
    </row>
    <row r="8" spans="1:13">
      <c r="A8" s="803"/>
      <c r="B8" s="817" t="s">
        <v>9</v>
      </c>
      <c r="C8" s="818"/>
      <c r="D8" s="819"/>
      <c r="E8" s="798" t="s">
        <v>281</v>
      </c>
      <c r="F8" s="798" t="s">
        <v>282</v>
      </c>
      <c r="G8" s="820" t="s">
        <v>283</v>
      </c>
      <c r="H8" s="818" t="s">
        <v>9</v>
      </c>
      <c r="I8" s="818"/>
      <c r="J8" s="819"/>
      <c r="K8" s="798" t="s">
        <v>281</v>
      </c>
      <c r="L8" s="798" t="s">
        <v>282</v>
      </c>
      <c r="M8" s="800" t="s">
        <v>283</v>
      </c>
    </row>
    <row r="9" spans="1:13" ht="17.25" thickBot="1">
      <c r="A9" s="811"/>
      <c r="B9" s="312" t="s">
        <v>13</v>
      </c>
      <c r="C9" s="313" t="s">
        <v>14</v>
      </c>
      <c r="D9" s="313" t="s">
        <v>15</v>
      </c>
      <c r="E9" s="799"/>
      <c r="F9" s="799"/>
      <c r="G9" s="821"/>
      <c r="H9" s="314" t="s">
        <v>13</v>
      </c>
      <c r="I9" s="313" t="s">
        <v>14</v>
      </c>
      <c r="J9" s="313" t="s">
        <v>15</v>
      </c>
      <c r="K9" s="799"/>
      <c r="L9" s="799"/>
      <c r="M9" s="801"/>
    </row>
    <row r="10" spans="1:13">
      <c r="A10" s="802" t="s">
        <v>284</v>
      </c>
      <c r="B10" s="804" t="s">
        <v>17</v>
      </c>
      <c r="C10" s="315" t="s">
        <v>18</v>
      </c>
      <c r="D10" s="315" t="s">
        <v>19</v>
      </c>
      <c r="E10" s="316">
        <v>20398000</v>
      </c>
      <c r="F10" s="316">
        <v>19408352</v>
      </c>
      <c r="G10" s="317">
        <f>E10-F10</f>
        <v>989648</v>
      </c>
      <c r="H10" s="806" t="s">
        <v>285</v>
      </c>
      <c r="I10" s="808" t="s">
        <v>21</v>
      </c>
      <c r="J10" s="808" t="s">
        <v>22</v>
      </c>
      <c r="K10" s="318"/>
      <c r="L10" s="318">
        <f>[1]사무국!L10+[1]진구복지관!L10+[1]강서복지관!L10+[1]강서자활!L10</f>
        <v>0</v>
      </c>
      <c r="M10" s="317">
        <f>L10-K10</f>
        <v>0</v>
      </c>
    </row>
    <row r="11" spans="1:13">
      <c r="A11" s="803"/>
      <c r="B11" s="805"/>
      <c r="C11" s="319"/>
      <c r="D11" s="320" t="s">
        <v>23</v>
      </c>
      <c r="E11" s="321"/>
      <c r="F11" s="321"/>
      <c r="G11" s="322">
        <f>F11-E11</f>
        <v>0</v>
      </c>
      <c r="H11" s="807"/>
      <c r="I11" s="790"/>
      <c r="J11" s="790"/>
      <c r="K11" s="323"/>
      <c r="L11" s="323"/>
      <c r="M11" s="322">
        <f>L11-K11</f>
        <v>0</v>
      </c>
    </row>
    <row r="12" spans="1:13" ht="27">
      <c r="A12" s="803"/>
      <c r="B12" s="805"/>
      <c r="C12" s="324" t="s">
        <v>24</v>
      </c>
      <c r="D12" s="324" t="s">
        <v>25</v>
      </c>
      <c r="E12" s="325">
        <v>100000</v>
      </c>
      <c r="F12" s="325">
        <v>0</v>
      </c>
      <c r="G12" s="326">
        <f>E12-F12</f>
        <v>100000</v>
      </c>
      <c r="H12" s="791" t="s">
        <v>286</v>
      </c>
      <c r="I12" s="779" t="s">
        <v>27</v>
      </c>
      <c r="J12" s="779" t="s">
        <v>287</v>
      </c>
      <c r="K12" s="327"/>
      <c r="L12" s="328">
        <f>[1]사무국!L12+[1]진구복지관!L12+[1]강서복지관!L12+[1]강서자활!L12</f>
        <v>0</v>
      </c>
      <c r="M12" s="326">
        <f>L12-K12</f>
        <v>0</v>
      </c>
    </row>
    <row r="13" spans="1:13" ht="27">
      <c r="A13" s="803"/>
      <c r="B13" s="805"/>
      <c r="C13" s="319"/>
      <c r="D13" s="319" t="s">
        <v>288</v>
      </c>
      <c r="E13" s="321">
        <v>200000</v>
      </c>
      <c r="F13" s="321"/>
      <c r="G13" s="326">
        <f>E13-F13</f>
        <v>200000</v>
      </c>
      <c r="H13" s="792"/>
      <c r="I13" s="780"/>
      <c r="J13" s="782"/>
      <c r="K13" s="329"/>
      <c r="L13" s="329"/>
      <c r="M13" s="322">
        <f>L13-K13</f>
        <v>0</v>
      </c>
    </row>
    <row r="14" spans="1:13" ht="27">
      <c r="A14" s="803"/>
      <c r="B14" s="794"/>
      <c r="C14" s="324" t="s">
        <v>31</v>
      </c>
      <c r="D14" s="330" t="s">
        <v>32</v>
      </c>
      <c r="E14" s="331"/>
      <c r="F14" s="331">
        <f>[1]사무국!F14+[1]진구복지관!F14+[1]강서복지관!F14+[1]강서자활!F14</f>
        <v>0</v>
      </c>
      <c r="G14" s="326"/>
      <c r="H14" s="332" t="s">
        <v>289</v>
      </c>
      <c r="I14" s="333" t="s">
        <v>290</v>
      </c>
      <c r="J14" s="334" t="s">
        <v>291</v>
      </c>
      <c r="K14" s="329"/>
      <c r="L14" s="323">
        <v>500000</v>
      </c>
      <c r="M14" s="335">
        <f>K14-L14</f>
        <v>-500000</v>
      </c>
    </row>
    <row r="15" spans="1:13" ht="27">
      <c r="A15" s="803"/>
      <c r="B15" s="336" t="s">
        <v>90</v>
      </c>
      <c r="C15" s="324" t="s">
        <v>37</v>
      </c>
      <c r="D15" s="330" t="s">
        <v>38</v>
      </c>
      <c r="E15" s="337"/>
      <c r="F15" s="331">
        <f>[1]사무국!F15+[1]진구복지관!F15+[1]강서복지관!F15+[1]강서자활!F15</f>
        <v>0</v>
      </c>
      <c r="G15" s="326"/>
      <c r="H15" s="338" t="s">
        <v>292</v>
      </c>
      <c r="I15" s="339" t="s">
        <v>293</v>
      </c>
      <c r="J15" s="339" t="s">
        <v>294</v>
      </c>
      <c r="K15" s="328"/>
      <c r="L15" s="340">
        <f>[1]사무국!L15+[1]진구복지관!L15+[1]강서복지관!L15+[1]강서자활!L15</f>
        <v>0</v>
      </c>
      <c r="M15" s="335"/>
    </row>
    <row r="16" spans="1:13">
      <c r="A16" s="803"/>
      <c r="B16" s="341" t="s">
        <v>42</v>
      </c>
      <c r="C16" s="342" t="s">
        <v>43</v>
      </c>
      <c r="D16" s="343" t="s">
        <v>295</v>
      </c>
      <c r="E16" s="337"/>
      <c r="F16" s="331">
        <f>[1]사무국!F16+[1]진구복지관!F16+[1]강서복지관!F16+[1]강서자활!F16</f>
        <v>0</v>
      </c>
      <c r="G16" s="326"/>
      <c r="H16" s="791" t="s">
        <v>296</v>
      </c>
      <c r="I16" s="779" t="s">
        <v>297</v>
      </c>
      <c r="J16" s="344" t="s">
        <v>113</v>
      </c>
      <c r="K16" s="345">
        <v>98613000</v>
      </c>
      <c r="L16" s="340">
        <v>75367920</v>
      </c>
      <c r="M16" s="335">
        <f t="shared" ref="M16:M21" si="0">K16-L16</f>
        <v>23245080</v>
      </c>
    </row>
    <row r="17" spans="1:13">
      <c r="A17" s="803"/>
      <c r="B17" s="341" t="s">
        <v>48</v>
      </c>
      <c r="C17" s="342" t="s">
        <v>49</v>
      </c>
      <c r="D17" s="342" t="s">
        <v>50</v>
      </c>
      <c r="E17" s="321">
        <v>78000000</v>
      </c>
      <c r="F17" s="331">
        <v>55820020</v>
      </c>
      <c r="G17" s="326">
        <f>E17-F17</f>
        <v>22179980</v>
      </c>
      <c r="H17" s="792"/>
      <c r="I17" s="780"/>
      <c r="J17" s="346" t="s">
        <v>298</v>
      </c>
      <c r="K17" s="345"/>
      <c r="L17" s="340">
        <f>[1]사무국!L17+[1]진구복지관!L17+[1]강서복지관!L17+[1]강서자활!L17</f>
        <v>0</v>
      </c>
      <c r="M17" s="335"/>
    </row>
    <row r="18" spans="1:13" ht="27">
      <c r="A18" s="803"/>
      <c r="B18" s="341" t="s">
        <v>299</v>
      </c>
      <c r="C18" s="342" t="s">
        <v>300</v>
      </c>
      <c r="D18" s="343" t="s">
        <v>301</v>
      </c>
      <c r="E18" s="337"/>
      <c r="F18" s="331">
        <f>[1]사무국!F18+[1]진구복지관!F18+[1]강서복지관!F18+[1]강서자활!F18</f>
        <v>0</v>
      </c>
      <c r="G18" s="326"/>
      <c r="H18" s="793" t="s">
        <v>302</v>
      </c>
      <c r="I18" s="781" t="s">
        <v>303</v>
      </c>
      <c r="J18" s="781" t="s">
        <v>304</v>
      </c>
      <c r="K18" s="323">
        <v>100000</v>
      </c>
      <c r="L18" s="323">
        <v>2640617</v>
      </c>
      <c r="M18" s="347">
        <f t="shared" si="0"/>
        <v>-2540617</v>
      </c>
    </row>
    <row r="19" spans="1:13">
      <c r="A19" s="803"/>
      <c r="B19" s="341" t="s">
        <v>108</v>
      </c>
      <c r="C19" s="342" t="s">
        <v>110</v>
      </c>
      <c r="D19" s="342" t="s">
        <v>110</v>
      </c>
      <c r="E19" s="348">
        <v>20000</v>
      </c>
      <c r="F19" s="348">
        <v>30008</v>
      </c>
      <c r="G19" s="326">
        <f>E19-F19</f>
        <v>-10008</v>
      </c>
      <c r="H19" s="794"/>
      <c r="I19" s="782"/>
      <c r="J19" s="782"/>
      <c r="K19" s="323"/>
      <c r="L19" s="323"/>
      <c r="M19" s="349"/>
    </row>
    <row r="20" spans="1:13" ht="27">
      <c r="A20" s="803"/>
      <c r="B20" s="336" t="s">
        <v>305</v>
      </c>
      <c r="C20" s="324" t="s">
        <v>306</v>
      </c>
      <c r="D20" s="324" t="s">
        <v>307</v>
      </c>
      <c r="E20" s="325"/>
      <c r="F20" s="325">
        <v>3250616</v>
      </c>
      <c r="G20" s="326">
        <f>E20-F20</f>
        <v>-3250616</v>
      </c>
      <c r="H20" s="795" t="s">
        <v>308</v>
      </c>
      <c r="I20" s="779" t="s">
        <v>309</v>
      </c>
      <c r="J20" s="350" t="s">
        <v>663</v>
      </c>
      <c r="K20" s="340"/>
      <c r="L20" s="340">
        <f>[1]사무국!L20+[1]진구복지관!L20+[1]강서복지관!L20+[1]강서자활!L20</f>
        <v>0</v>
      </c>
      <c r="M20" s="335"/>
    </row>
    <row r="21" spans="1:13" ht="17.25" thickBot="1">
      <c r="A21" s="803"/>
      <c r="B21" s="351" t="s">
        <v>310</v>
      </c>
      <c r="C21" s="352" t="s">
        <v>311</v>
      </c>
      <c r="D21" s="352" t="s">
        <v>312</v>
      </c>
      <c r="E21" s="353"/>
      <c r="F21" s="353">
        <f>[1]사무국!F21+[1]진구복지관!F21+[1]강서복지관!F21+[1]강서자활!F21</f>
        <v>0</v>
      </c>
      <c r="G21" s="326"/>
      <c r="H21" s="796"/>
      <c r="I21" s="797"/>
      <c r="J21" s="339" t="s">
        <v>127</v>
      </c>
      <c r="K21" s="323">
        <v>5000</v>
      </c>
      <c r="L21" s="323">
        <v>459</v>
      </c>
      <c r="M21" s="335">
        <f t="shared" si="0"/>
        <v>4541</v>
      </c>
    </row>
    <row r="22" spans="1:13" ht="18" thickTop="1" thickBot="1">
      <c r="A22" s="354"/>
      <c r="B22" s="355" t="s">
        <v>79</v>
      </c>
      <c r="C22" s="356"/>
      <c r="D22" s="356"/>
      <c r="E22" s="357">
        <f>E10+E12+E13+E17+E19</f>
        <v>98718000</v>
      </c>
      <c r="F22" s="358">
        <f>F10+F17+F19+F20</f>
        <v>78508996</v>
      </c>
      <c r="G22" s="359">
        <f>G10+G12+G13+G17+G19+G20</f>
        <v>20209004</v>
      </c>
      <c r="H22" s="360" t="s">
        <v>79</v>
      </c>
      <c r="I22" s="361"/>
      <c r="J22" s="361"/>
      <c r="K22" s="362">
        <f>SUM(K10:K21)</f>
        <v>98718000</v>
      </c>
      <c r="L22" s="362">
        <f>SUM(L10:L21)</f>
        <v>78508996</v>
      </c>
      <c r="M22" s="363">
        <f>M14+M16+M18+M21</f>
        <v>20209004</v>
      </c>
    </row>
    <row r="23" spans="1:13">
      <c r="A23" s="788" t="s">
        <v>313</v>
      </c>
      <c r="B23" s="770" t="s">
        <v>17</v>
      </c>
      <c r="C23" s="334" t="s">
        <v>18</v>
      </c>
      <c r="D23" s="334" t="s">
        <v>81</v>
      </c>
      <c r="E23" s="329">
        <f>[1]사무국!E23+[1]진구복지관!E23+[1]강서복지관!E23+[1]강서자활!E23</f>
        <v>1325663030</v>
      </c>
      <c r="F23" s="329">
        <f>[1]사무국!F23+[1]진구복지관!F23+[1]강서복지관!F23+[1]강서자활!F23</f>
        <v>1322609672</v>
      </c>
      <c r="G23" s="364">
        <f>E23-F23</f>
        <v>3053358</v>
      </c>
      <c r="H23" s="365" t="s">
        <v>314</v>
      </c>
      <c r="I23" s="366" t="s">
        <v>315</v>
      </c>
      <c r="J23" s="366" t="s">
        <v>316</v>
      </c>
      <c r="K23" s="367">
        <f>[1]사무국!K23+[1]진구복지관!K23+[1]강서복지관!K23+[1]강서자활!K23</f>
        <v>1040725230</v>
      </c>
      <c r="L23" s="367">
        <f>[1]사무국!L23+[1]진구복지관!L23+[1]강서복지관!L23+[1]강서자활!L23</f>
        <v>986182664</v>
      </c>
      <c r="M23" s="368">
        <f>K23-L23</f>
        <v>54542566</v>
      </c>
    </row>
    <row r="24" spans="1:13" ht="27">
      <c r="A24" s="789"/>
      <c r="B24" s="771"/>
      <c r="C24" s="369" t="s">
        <v>24</v>
      </c>
      <c r="D24" s="369" t="s">
        <v>85</v>
      </c>
      <c r="E24" s="370">
        <f>[1]사무국!E24+[1]진구복지관!E24+[1]강서복지관!E24+[1]강서자활!E24</f>
        <v>15261570</v>
      </c>
      <c r="F24" s="370">
        <f>[1]사무국!F24+[1]진구복지관!F24+[1]강서복지관!F24+[1]강서자활!F24</f>
        <v>13784460</v>
      </c>
      <c r="G24" s="364">
        <f>E24-F24</f>
        <v>1477110</v>
      </c>
      <c r="H24" s="371" t="s">
        <v>317</v>
      </c>
      <c r="I24" s="372" t="s">
        <v>318</v>
      </c>
      <c r="J24" s="372" t="s">
        <v>319</v>
      </c>
      <c r="K24" s="367">
        <f>[1]사무국!K24+[1]진구복지관!K24+[1]강서복지관!K24+[1]강서자활!K24</f>
        <v>856772</v>
      </c>
      <c r="L24" s="367">
        <f>[1]사무국!L24+[1]진구복지관!L24+[1]강서복지관!L24+[1]강서자활!L24</f>
        <v>856772</v>
      </c>
      <c r="M24" s="368">
        <f t="shared" ref="M24:M36" si="1">K24-L24</f>
        <v>0</v>
      </c>
    </row>
    <row r="25" spans="1:13">
      <c r="A25" s="789"/>
      <c r="B25" s="772"/>
      <c r="C25" s="369" t="s">
        <v>31</v>
      </c>
      <c r="D25" s="369" t="s">
        <v>86</v>
      </c>
      <c r="E25" s="370">
        <f>[1]사무국!E25+[1]진구복지관!E25+[1]강서복지관!E25+[1]강서자활!E25</f>
        <v>157935070</v>
      </c>
      <c r="F25" s="370">
        <f>[1]사무국!F25+[1]진구복지관!F25+[1]강서복지관!F25+[1]강서자활!F25</f>
        <v>149174828</v>
      </c>
      <c r="G25" s="364">
        <f>E25-F25</f>
        <v>8760242</v>
      </c>
      <c r="H25" s="787" t="s">
        <v>320</v>
      </c>
      <c r="I25" s="781" t="s">
        <v>321</v>
      </c>
      <c r="J25" s="319" t="s">
        <v>322</v>
      </c>
      <c r="K25" s="329">
        <f>[1]사무국!K25+[1]진구복지관!K25+[1]강서복지관!K25+[1]강서자활!K25</f>
        <v>879211000</v>
      </c>
      <c r="L25" s="329">
        <f>[1]사무국!L25+[1]진구복지관!L25+[1]강서복지관!L25+[1]강서자활!L25</f>
        <v>879211000</v>
      </c>
      <c r="M25" s="368">
        <f t="shared" si="1"/>
        <v>0</v>
      </c>
    </row>
    <row r="26" spans="1:13" ht="27">
      <c r="A26" s="789"/>
      <c r="B26" s="373" t="s">
        <v>90</v>
      </c>
      <c r="C26" s="369" t="s">
        <v>37</v>
      </c>
      <c r="D26" s="369" t="s">
        <v>91</v>
      </c>
      <c r="E26" s="370">
        <f>[1]사무국!E26+[1]진구복지관!E26+[1]강서복지관!E26+[1]강서자활!E26</f>
        <v>273827100</v>
      </c>
      <c r="F26" s="370">
        <f>[1]사무국!F26+[1]진구복지관!F26+[1]강서복지관!F26+[1]강서자활!F26</f>
        <v>265070010</v>
      </c>
      <c r="G26" s="364">
        <f>E26-F26</f>
        <v>8757090</v>
      </c>
      <c r="H26" s="771"/>
      <c r="I26" s="790"/>
      <c r="J26" s="374" t="s">
        <v>323</v>
      </c>
      <c r="K26" s="375">
        <f>[1]사무국!K26+[1]진구복지관!K26+[1]강서복지관!K26+[1]강서자활!K26</f>
        <v>1370374000</v>
      </c>
      <c r="L26" s="375">
        <f>[1]사무국!L26+[1]진구복지관!L26+[1]강서복지관!L26+[1]강서자활!L26</f>
        <v>1370374000</v>
      </c>
      <c r="M26" s="368">
        <f t="shared" si="1"/>
        <v>0</v>
      </c>
    </row>
    <row r="27" spans="1:13" ht="27">
      <c r="A27" s="789"/>
      <c r="B27" s="777" t="s">
        <v>42</v>
      </c>
      <c r="C27" s="779" t="s">
        <v>324</v>
      </c>
      <c r="D27" s="779" t="s">
        <v>325</v>
      </c>
      <c r="E27" s="328">
        <f>[1]사무국!E27+[1]진구복지관!E27+[1]강서복지관!E27+[1]강서자활!E27</f>
        <v>3453609145</v>
      </c>
      <c r="F27" s="328">
        <f>[1]사무국!F27+[1]진구복지관!F27+[1]강서복지관!F27+[1]강서자활!F27</f>
        <v>3093299793</v>
      </c>
      <c r="G27" s="364">
        <f>E27-F27</f>
        <v>360309352</v>
      </c>
      <c r="H27" s="771"/>
      <c r="I27" s="790"/>
      <c r="J27" s="319" t="s">
        <v>326</v>
      </c>
      <c r="K27" s="329">
        <f>[1]사무국!K27+[1]진구복지관!K27+[1]강서복지관!K27+[1]강서자활!K27</f>
        <v>639979000</v>
      </c>
      <c r="L27" s="329">
        <f>[1]사무국!L27+[1]진구복지관!L27+[1]강서복지관!L27+[1]강서자활!L27</f>
        <v>636793210</v>
      </c>
      <c r="M27" s="368">
        <f t="shared" si="1"/>
        <v>3185790</v>
      </c>
    </row>
    <row r="28" spans="1:13">
      <c r="A28" s="789"/>
      <c r="B28" s="772"/>
      <c r="C28" s="782"/>
      <c r="D28" s="782"/>
      <c r="E28" s="323"/>
      <c r="F28" s="323"/>
      <c r="G28" s="364"/>
      <c r="H28" s="778"/>
      <c r="I28" s="782"/>
      <c r="J28" s="342" t="s">
        <v>327</v>
      </c>
      <c r="K28" s="370">
        <f>[1]사무국!K28+[1]진구복지관!K28+[1]강서복지관!K28+[1]강서자활!K28</f>
        <v>106100000</v>
      </c>
      <c r="L28" s="370">
        <f>[1]사무국!L28+[1]진구복지관!L28+[1]강서복지관!L28+[1]강서자활!L28</f>
        <v>88100000</v>
      </c>
      <c r="M28" s="368">
        <f t="shared" si="1"/>
        <v>18000000</v>
      </c>
    </row>
    <row r="29" spans="1:13">
      <c r="A29" s="789"/>
      <c r="B29" s="376" t="s">
        <v>48</v>
      </c>
      <c r="C29" s="339" t="s">
        <v>49</v>
      </c>
      <c r="D29" s="339" t="s">
        <v>96</v>
      </c>
      <c r="E29" s="328">
        <f>[1]사무국!E29+[1]진구복지관!E29+[1]강서복지관!E29+[1]강서자활!E29</f>
        <v>20000000</v>
      </c>
      <c r="F29" s="328">
        <f>[1]사무국!F29+[1]진구복지관!F29+[1]강서복지관!F29+[1]강서자활!F29</f>
        <v>20000000</v>
      </c>
      <c r="G29" s="364">
        <f>[1]사무국!G29+[1]진구복지관!G29+[1]강서복지관!G29+[1]강서자활!G29</f>
        <v>0</v>
      </c>
      <c r="H29" s="787" t="s">
        <v>328</v>
      </c>
      <c r="I29" s="779" t="s">
        <v>329</v>
      </c>
      <c r="J29" s="342" t="s">
        <v>330</v>
      </c>
      <c r="K29" s="370">
        <f>[1]사무국!K29+[1]진구복지관!K29+[1]강서복지관!K29+[1]강서자활!K29</f>
        <v>851788210</v>
      </c>
      <c r="L29" s="328">
        <f>[1]사무국!L29+[1]진구복지관!L29+[1]강서복지관!L29+[1]강서자활!L29</f>
        <v>843573129</v>
      </c>
      <c r="M29" s="368">
        <f t="shared" si="1"/>
        <v>8215081</v>
      </c>
    </row>
    <row r="30" spans="1:13" ht="27">
      <c r="A30" s="789"/>
      <c r="B30" s="377" t="s">
        <v>98</v>
      </c>
      <c r="C30" s="378" t="s">
        <v>99</v>
      </c>
      <c r="D30" s="378" t="s">
        <v>100</v>
      </c>
      <c r="E30" s="375">
        <f>[1]사무국!E30+[1]진구복지관!E30+[1]강서복지관!E30+[1]강서자활!E30</f>
        <v>0</v>
      </c>
      <c r="F30" s="375">
        <f>[1]사무국!F30+[1]진구복지관!F30+[1]강서복지관!F30+[1]강서자활!F30</f>
        <v>0</v>
      </c>
      <c r="G30" s="364">
        <f>[1]사무국!G30+[1]진구복지관!G30+[1]강서복지관!G30+[1]강서자활!G30</f>
        <v>0</v>
      </c>
      <c r="H30" s="772"/>
      <c r="I30" s="782"/>
      <c r="J30" s="342" t="s">
        <v>331</v>
      </c>
      <c r="K30" s="328">
        <f>[1]사무국!K30+[1]진구복지관!K30+[1]강서복지관!K30+[1]강서자활!K30</f>
        <v>185600000</v>
      </c>
      <c r="L30" s="340">
        <f>[1]사무국!L30+[1]진구복지관!L30+[1]강서복지관!L30+[1]강서자활!L30</f>
        <v>197369820</v>
      </c>
      <c r="M30" s="368">
        <f t="shared" si="1"/>
        <v>-11769820</v>
      </c>
    </row>
    <row r="31" spans="1:13">
      <c r="A31" s="789"/>
      <c r="B31" s="379" t="s">
        <v>299</v>
      </c>
      <c r="C31" s="380" t="s">
        <v>332</v>
      </c>
      <c r="D31" s="380" t="s">
        <v>301</v>
      </c>
      <c r="E31" s="381">
        <f>[1]사무국!E31+[1]진구복지관!E31+[1]강서복지관!E31+[1]강서자활!E31</f>
        <v>0</v>
      </c>
      <c r="F31" s="381">
        <f>[1]사무국!F31+[1]진구복지관!F31+[1]강서복지관!F31+[1]강서자활!F31</f>
        <v>0</v>
      </c>
      <c r="G31" s="364">
        <f>[1]사무국!G31+[1]진구복지관!G31+[1]강서복지관!G31+[1]강서자활!G31</f>
        <v>0</v>
      </c>
      <c r="H31" s="382" t="s">
        <v>333</v>
      </c>
      <c r="I31" s="320" t="s">
        <v>334</v>
      </c>
      <c r="J31" s="330" t="s">
        <v>335</v>
      </c>
      <c r="K31" s="345">
        <f>[1]사무국!K31+[1]진구복지관!K31+[1]강서복지관!K31+[1]강서자활!K31</f>
        <v>0</v>
      </c>
      <c r="L31" s="340">
        <f>[1]사무국!L31+[1]진구복지관!L31+[1]강서복지관!L31+[1]강서자활!L31</f>
        <v>0</v>
      </c>
      <c r="M31" s="368">
        <f t="shared" si="1"/>
        <v>0</v>
      </c>
    </row>
    <row r="32" spans="1:13">
      <c r="A32" s="789"/>
      <c r="B32" s="377" t="s">
        <v>108</v>
      </c>
      <c r="C32" s="378" t="s">
        <v>109</v>
      </c>
      <c r="D32" s="378" t="s">
        <v>110</v>
      </c>
      <c r="E32" s="375">
        <f>[1]사무국!E32+[1]진구복지관!E32+[1]강서복지관!E32+[1]강서자활!E32</f>
        <v>112380</v>
      </c>
      <c r="F32" s="375">
        <f>[1]사무국!F32+[1]진구복지관!F32+[1]강서복지관!F32+[1]강서자활!F32</f>
        <v>112380</v>
      </c>
      <c r="G32" s="364">
        <f>[1]사무국!G32+[1]진구복지관!G32+[1]강서복지관!G32+[1]강서자활!G32</f>
        <v>0</v>
      </c>
      <c r="H32" s="383" t="s">
        <v>336</v>
      </c>
      <c r="I32" s="324" t="s">
        <v>337</v>
      </c>
      <c r="J32" s="324" t="s">
        <v>113</v>
      </c>
      <c r="K32" s="323">
        <f>[1]사무국!K32+[1]진구복지관!K32+[1]강서복지관!K32+[1]강서자활!K32</f>
        <v>90000000</v>
      </c>
      <c r="L32" s="323">
        <f>[1]사무국!L32+[1]진구복지관!L32+[1]강서복지관!L32+[1]강서자활!L32</f>
        <v>90000000</v>
      </c>
      <c r="M32" s="368">
        <f t="shared" si="1"/>
        <v>0</v>
      </c>
    </row>
    <row r="33" spans="1:13">
      <c r="A33" s="789"/>
      <c r="B33" s="787" t="s">
        <v>338</v>
      </c>
      <c r="C33" s="781" t="s">
        <v>339</v>
      </c>
      <c r="D33" s="334" t="s">
        <v>340</v>
      </c>
      <c r="E33" s="329">
        <f>[1]사무국!E33+[1]진구복지관!E33+[1]강서복지관!E33+[1]강서자활!E33</f>
        <v>533994497</v>
      </c>
      <c r="F33" s="329">
        <f>[1]사무국!F33+[1]진구복지관!F33+[1]강서복지관!F33+[1]강서자활!F33</f>
        <v>119423182</v>
      </c>
      <c r="G33" s="364">
        <f>E33-F33</f>
        <v>414571315</v>
      </c>
      <c r="H33" s="783" t="s">
        <v>341</v>
      </c>
      <c r="I33" s="775" t="s">
        <v>342</v>
      </c>
      <c r="J33" s="775" t="s">
        <v>343</v>
      </c>
      <c r="K33" s="328">
        <f>[1]사무국!K33+[1]진구복지관!K33+[1]강서복지관!K33+[1]강서자활!K33</f>
        <v>619443657</v>
      </c>
      <c r="L33" s="328">
        <f>[1]사무국!L33+[1]진구복지관!L33+[1]강서복지관!L33+[1]강서자활!L33</f>
        <v>619443679</v>
      </c>
      <c r="M33" s="368">
        <f t="shared" si="1"/>
        <v>-22</v>
      </c>
    </row>
    <row r="34" spans="1:13">
      <c r="A34" s="789"/>
      <c r="B34" s="772"/>
      <c r="C34" s="782"/>
      <c r="D34" s="333" t="s">
        <v>344</v>
      </c>
      <c r="E34" s="323">
        <f>[1]사무국!E34+[1]진구복지관!E34+[1]강서복지관!E34+[1]강서자활!E34</f>
        <v>28428663</v>
      </c>
      <c r="F34" s="323">
        <f>[1]사무국!F34+[1]진구복지관!F34+[1]강서복지관!F34+[1]강서자활!F34</f>
        <v>13823899</v>
      </c>
      <c r="G34" s="364">
        <f>E34-F34</f>
        <v>14604764</v>
      </c>
      <c r="H34" s="784"/>
      <c r="I34" s="786"/>
      <c r="J34" s="786"/>
      <c r="K34" s="323">
        <f>[1]사무국!K34+[1]진구복지관!K34+[1]강서복지관!K34+[1]강서자활!K35</f>
        <v>0</v>
      </c>
      <c r="L34" s="323">
        <f>[1]사무국!L34+[1]진구복지관!L34+[1]강서복지관!L34+[1]강서자활!L35</f>
        <v>0</v>
      </c>
      <c r="M34" s="368">
        <f t="shared" si="1"/>
        <v>0</v>
      </c>
    </row>
    <row r="35" spans="1:13" ht="27">
      <c r="A35" s="789"/>
      <c r="B35" s="377" t="s">
        <v>345</v>
      </c>
      <c r="C35" s="378" t="s">
        <v>346</v>
      </c>
      <c r="D35" s="378" t="s">
        <v>347</v>
      </c>
      <c r="E35" s="375">
        <f>[1]사무국!E35+[1]진구복지관!E35+[1]강서복지관!E35+[1]강서자활!E35</f>
        <v>0</v>
      </c>
      <c r="F35" s="375">
        <f>[1]사무국!F35+[1]진구복지관!F35+[1]강서복지관!F35+[1]강서자활!F35</f>
        <v>0</v>
      </c>
      <c r="G35" s="364">
        <f>[1]사무국!G36+[1]진구복지관!G36+[1]강서복지관!G36+[1]강서자활!G36</f>
        <v>0</v>
      </c>
      <c r="H35" s="785"/>
      <c r="I35" s="776"/>
      <c r="J35" s="776"/>
      <c r="K35" s="329">
        <f>[1]사무국!K35+[1]진구복지관!K35+[1]강서복지관!K35+[1]강서자활!K35</f>
        <v>0</v>
      </c>
      <c r="L35" s="329">
        <f>[1]사무국!L35+[1]진구복지관!L35+[1]강서복지관!L35+[1]강서자활!L35</f>
        <v>0</v>
      </c>
      <c r="M35" s="368">
        <f t="shared" si="1"/>
        <v>0</v>
      </c>
    </row>
    <row r="36" spans="1:13" ht="27">
      <c r="A36" s="789"/>
      <c r="B36" s="787" t="s">
        <v>310</v>
      </c>
      <c r="C36" s="781" t="s">
        <v>311</v>
      </c>
      <c r="D36" s="384" t="s">
        <v>348</v>
      </c>
      <c r="E36" s="367">
        <f>[1]사무국!E36+[1]진구복지관!E36+[1]강서복지관!E36+[1]강서자활!E36</f>
        <v>0</v>
      </c>
      <c r="F36" s="367">
        <f>[1]사무국!F36+[1]진구복지관!F37+[1]강서복지관!F35+[1]강서자활!F37</f>
        <v>0</v>
      </c>
      <c r="G36" s="364">
        <f>[1]사무국!G36+[1]진구복지관!G36+[1]강서복지관!G36+[1]강서자활!G36</f>
        <v>0</v>
      </c>
      <c r="H36" s="385" t="s">
        <v>349</v>
      </c>
      <c r="I36" s="374" t="s">
        <v>350</v>
      </c>
      <c r="J36" s="374" t="s">
        <v>127</v>
      </c>
      <c r="K36" s="375">
        <f>[1]사무국!K36+[1]진구복지관!K36+[1]강서복지관!K36+[1]강서자활!K36</f>
        <v>24753586</v>
      </c>
      <c r="L36" s="375">
        <f>[1]사무국!L36+[1]진구복지관!L36+[1]강서복지관!L36+[1]강서자활!L36</f>
        <v>24077699</v>
      </c>
      <c r="M36" s="386">
        <f t="shared" si="1"/>
        <v>675887</v>
      </c>
    </row>
    <row r="37" spans="1:13" ht="27">
      <c r="A37" s="789"/>
      <c r="B37" s="778"/>
      <c r="C37" s="780"/>
      <c r="D37" s="387" t="s">
        <v>351</v>
      </c>
      <c r="E37" s="367">
        <f>[1]사무국!E37+[1]진구복지관!E37+[1]강서복지관!E37+[1]강서자활!E37</f>
        <v>0</v>
      </c>
      <c r="F37" s="367">
        <f>[1]사무국!F37+[1]진구복지관!F37+[1]강서복지관!F37+[1]강서자활!F37</f>
        <v>0</v>
      </c>
      <c r="G37" s="388">
        <f>[1]사무국!G37+[1]진구복지관!G37+[1]강서복지관!G37+[1]강서자활!G37</f>
        <v>0</v>
      </c>
      <c r="H37" s="382"/>
      <c r="I37" s="320"/>
      <c r="J37" s="320"/>
      <c r="K37" s="389"/>
      <c r="L37" s="323"/>
      <c r="M37" s="390"/>
    </row>
    <row r="38" spans="1:13" ht="17.25" thickBot="1">
      <c r="A38" s="391"/>
      <c r="B38" s="392" t="s">
        <v>352</v>
      </c>
      <c r="C38" s="333" t="s">
        <v>353</v>
      </c>
      <c r="D38" s="333" t="s">
        <v>354</v>
      </c>
      <c r="E38" s="323">
        <f>[1]사무국!E38+[1]진구복지관!E38+[1]강서복지관!E38+[1]강서자활!E38</f>
        <v>0</v>
      </c>
      <c r="F38" s="323">
        <f>[1]사무국!F38+[1]진구복지관!F38+[1]강서복지관!F38+[1]강서자활!F38</f>
        <v>738683749</v>
      </c>
      <c r="G38" s="393">
        <f>E38-F38</f>
        <v>-738683749</v>
      </c>
      <c r="H38" s="394"/>
      <c r="I38" s="395"/>
      <c r="J38" s="395"/>
      <c r="K38" s="323"/>
      <c r="L38" s="323"/>
      <c r="M38" s="390"/>
    </row>
    <row r="39" spans="1:13" ht="18" thickTop="1" thickBot="1">
      <c r="A39" s="396"/>
      <c r="B39" s="397" t="s">
        <v>79</v>
      </c>
      <c r="C39" s="398"/>
      <c r="D39" s="398"/>
      <c r="E39" s="399">
        <f>[1]사무국!E39+[1]진구복지관!E39+[1]강서복지관!E39+[1]강서자활!E39</f>
        <v>5808831455</v>
      </c>
      <c r="F39" s="399">
        <f>[1]사무국!F39+[1]진구복지관!F39+[1]강서복지관!F39+[1]강서자활!F39</f>
        <v>5735981973</v>
      </c>
      <c r="G39" s="400">
        <f>SUM(G23:G38)</f>
        <v>72849482</v>
      </c>
      <c r="H39" s="397" t="s">
        <v>79</v>
      </c>
      <c r="I39" s="401"/>
      <c r="J39" s="401"/>
      <c r="K39" s="399">
        <f>[1]사무국!K39+[1]진구복지관!K39+[1]강서복지관!K39+[1]강서자활!K39</f>
        <v>5808831455</v>
      </c>
      <c r="L39" s="399">
        <f>[1]사무국!L39+[1]진구복지관!L39+[1]강서복지관!L39+[1]강서자활!L39</f>
        <v>5735981973</v>
      </c>
      <c r="M39" s="402">
        <f>SUM(M23:M36)</f>
        <v>72849482</v>
      </c>
    </row>
    <row r="40" spans="1:13" ht="27">
      <c r="A40" s="768" t="s">
        <v>355</v>
      </c>
      <c r="B40" s="770" t="s">
        <v>17</v>
      </c>
      <c r="C40" s="403" t="s">
        <v>18</v>
      </c>
      <c r="D40" s="403" t="s">
        <v>132</v>
      </c>
      <c r="E40" s="404">
        <f>[1]사무국!E40+[1]진구복지관!E40+[1]강서복지관!E40+[1]강서자활!E40</f>
        <v>863434795</v>
      </c>
      <c r="F40" s="405">
        <f>[1]사무국!F40+[1]진구복지관!F40+[1]강서복지관!F40+[1]강서자활!F40</f>
        <v>856317555</v>
      </c>
      <c r="G40" s="406">
        <f>E40-F40</f>
        <v>7117240</v>
      </c>
      <c r="H40" s="407" t="s">
        <v>356</v>
      </c>
      <c r="I40" s="408" t="s">
        <v>357</v>
      </c>
      <c r="J40" s="408" t="s">
        <v>358</v>
      </c>
      <c r="K40" s="887">
        <f>[1]사무국!K40+[1]진구복지관!K40+[1]강서복지관!K40+[1]강서자활!K40</f>
        <v>22560000</v>
      </c>
      <c r="L40" s="887">
        <f>[1]사무국!L40+[1]진구복지관!L40+[1]강서복지관!L40+[1]강서자활!L40</f>
        <v>22560000</v>
      </c>
      <c r="M40" s="409">
        <f>K40-L40</f>
        <v>0</v>
      </c>
    </row>
    <row r="41" spans="1:13" ht="27">
      <c r="A41" s="769"/>
      <c r="B41" s="771"/>
      <c r="C41" s="369" t="s">
        <v>24</v>
      </c>
      <c r="D41" s="369" t="s">
        <v>359</v>
      </c>
      <c r="E41" s="370">
        <f>[1]사무국!E41+[1]진구복지관!E41+[1]강서복지관!E41+[1]강서자활!E41</f>
        <v>120000</v>
      </c>
      <c r="F41" s="370">
        <f>[1]사무국!F41+[1]진구복지관!F41+[1]강서복지관!F41+[1]강서자활!F41</f>
        <v>120000</v>
      </c>
      <c r="G41" s="410">
        <f t="shared" ref="G41:G52" si="2">E41-F41</f>
        <v>0</v>
      </c>
      <c r="H41" s="411" t="s">
        <v>286</v>
      </c>
      <c r="I41" s="319" t="s">
        <v>27</v>
      </c>
      <c r="J41" s="143" t="s">
        <v>287</v>
      </c>
      <c r="K41" s="888">
        <f>[1]사무국!K41+[1]진구복지관!K41+[1]강서복지관!K41+[1]강서자활!K41</f>
        <v>451888500</v>
      </c>
      <c r="L41" s="889">
        <f>[1]사무국!L41+[1]진구복지관!L41+[1]강서복지관!L41+[1]강서자활!L41</f>
        <v>446702166</v>
      </c>
      <c r="M41" s="141">
        <f t="shared" ref="M41:M52" si="3">K41-L41</f>
        <v>5186334</v>
      </c>
    </row>
    <row r="42" spans="1:13" ht="27">
      <c r="A42" s="769"/>
      <c r="B42" s="772"/>
      <c r="C42" s="369" t="s">
        <v>31</v>
      </c>
      <c r="D42" s="369" t="s">
        <v>360</v>
      </c>
      <c r="E42" s="370">
        <f>[1]사무국!E42+[1]진구복지관!E42+[1]강서복지관!E42+[1]강서자활!E42+1010232647</f>
        <v>1069652505</v>
      </c>
      <c r="F42" s="370">
        <f>[1]사무국!F42+[1]진구복지관!F42+[1]강서복지관!F42+[1]강서자활!F42+992323240</f>
        <v>1050604284</v>
      </c>
      <c r="G42" s="410">
        <f t="shared" si="2"/>
        <v>19048221</v>
      </c>
      <c r="H42" s="773" t="s">
        <v>361</v>
      </c>
      <c r="I42" s="775" t="s">
        <v>362</v>
      </c>
      <c r="J42" s="775" t="s">
        <v>363</v>
      </c>
      <c r="K42" s="890">
        <v>740000</v>
      </c>
      <c r="L42" s="890">
        <v>734927</v>
      </c>
      <c r="M42" s="141">
        <f t="shared" si="3"/>
        <v>5073</v>
      </c>
    </row>
    <row r="43" spans="1:13">
      <c r="A43" s="769"/>
      <c r="B43" s="777" t="s">
        <v>90</v>
      </c>
      <c r="C43" s="779" t="s">
        <v>37</v>
      </c>
      <c r="D43" s="779" t="s">
        <v>143</v>
      </c>
      <c r="E43" s="328">
        <f>[1]사무국!E43+[1]진구복지관!E43+[1]강서복지관!E43+[1]강서자활!E43+48062000</f>
        <v>54727000</v>
      </c>
      <c r="F43" s="328">
        <f>[1]사무국!F43+[1]진구복지관!F43+[1]강서복지관!F43+[1]강서자활!F43+39958580</f>
        <v>46623580</v>
      </c>
      <c r="G43" s="410">
        <f t="shared" si="2"/>
        <v>8103420</v>
      </c>
      <c r="H43" s="774"/>
      <c r="I43" s="776"/>
      <c r="J43" s="776"/>
      <c r="K43" s="891"/>
      <c r="L43" s="890"/>
      <c r="M43" s="141">
        <f t="shared" si="3"/>
        <v>0</v>
      </c>
    </row>
    <row r="44" spans="1:13">
      <c r="A44" s="769"/>
      <c r="B44" s="778"/>
      <c r="C44" s="780"/>
      <c r="D44" s="780"/>
      <c r="E44" s="367"/>
      <c r="F44" s="367"/>
      <c r="G44" s="410">
        <f t="shared" si="2"/>
        <v>0</v>
      </c>
      <c r="H44" s="412" t="s">
        <v>364</v>
      </c>
      <c r="I44" s="320" t="s">
        <v>365</v>
      </c>
      <c r="J44" s="320" t="s">
        <v>366</v>
      </c>
      <c r="K44" s="890">
        <f>[1]사무국!K44+[1]진구복지관!K44+[1]강서복지관!K44+[1]강서자활!K44+569132111</f>
        <v>1683890051</v>
      </c>
      <c r="L44" s="889">
        <f>[1]사무국!L44+[1]진구복지관!L44+[1]강서복지관!L44+[1]강서자활!L44+565573820</f>
        <v>1676234820</v>
      </c>
      <c r="M44" s="141">
        <f t="shared" si="3"/>
        <v>7655231</v>
      </c>
    </row>
    <row r="45" spans="1:13">
      <c r="A45" s="769"/>
      <c r="B45" s="413" t="s">
        <v>42</v>
      </c>
      <c r="C45" s="319" t="s">
        <v>665</v>
      </c>
      <c r="D45" s="319" t="s">
        <v>666</v>
      </c>
      <c r="E45" s="329">
        <f>[1]사무국!E45+[1]진구복지관!E45+[1]강서복지관!E45+[1]강서자활!E45+295050000</f>
        <v>947578722</v>
      </c>
      <c r="F45" s="329">
        <f>[1]사무국!F45+[1]진구복지관!F45+[1]강서복지관!F45+[1]강서자활!F45+281656929</f>
        <v>927798304</v>
      </c>
      <c r="G45" s="410">
        <f t="shared" si="2"/>
        <v>19780418</v>
      </c>
      <c r="H45" s="336" t="s">
        <v>289</v>
      </c>
      <c r="I45" s="324" t="s">
        <v>290</v>
      </c>
      <c r="J45" s="330" t="s">
        <v>150</v>
      </c>
      <c r="K45" s="889">
        <f>[1]사무국!K45+[1]진구복지관!K45+[1]강서복지관!K45+[1]강서자활!K45</f>
        <v>24744000</v>
      </c>
      <c r="L45" s="889">
        <f>[1]사무국!L45+[1]진구복지관!L45+[1]강서복지관!L45+[1]강서자활!L45</f>
        <v>28541993</v>
      </c>
      <c r="M45" s="141">
        <f t="shared" si="3"/>
        <v>-3797993</v>
      </c>
    </row>
    <row r="46" spans="1:13" ht="27">
      <c r="A46" s="769"/>
      <c r="B46" s="385" t="s">
        <v>48</v>
      </c>
      <c r="C46" s="374" t="s">
        <v>49</v>
      </c>
      <c r="D46" s="374" t="s">
        <v>96</v>
      </c>
      <c r="E46" s="375">
        <f>[1]사무국!E46+[1]진구복지관!E46+[1]강서복지관!E46+[1]강서자활!E46+530000</f>
        <v>37530000</v>
      </c>
      <c r="F46" s="375">
        <f>[1]사무국!F46+[1]진구복지관!F46+[1]강서복지관!F46+[1]강서자활!F46+529230</f>
        <v>37529230</v>
      </c>
      <c r="G46" s="410">
        <f t="shared" si="2"/>
        <v>770</v>
      </c>
      <c r="H46" s="414" t="s">
        <v>367</v>
      </c>
      <c r="I46" s="324" t="s">
        <v>368</v>
      </c>
      <c r="J46" s="324" t="s">
        <v>113</v>
      </c>
      <c r="K46" s="890">
        <f>[1]사무국!K46+[1]진구복지관!K46+[1]강서복지관!K46+[1]강서자활!K46</f>
        <v>1320020</v>
      </c>
      <c r="L46" s="890">
        <f>[1]사무국!L46+[1]진구복지관!L46+[1]강서복지관!L46+[1]강서자활!L46</f>
        <v>1320020</v>
      </c>
      <c r="M46" s="141">
        <f t="shared" si="3"/>
        <v>0</v>
      </c>
    </row>
    <row r="47" spans="1:13" ht="27">
      <c r="A47" s="769"/>
      <c r="B47" s="383" t="s">
        <v>98</v>
      </c>
      <c r="C47" s="324" t="s">
        <v>99</v>
      </c>
      <c r="D47" s="324" t="s">
        <v>100</v>
      </c>
      <c r="E47" s="323">
        <f>[1]사무국!E47+[1]진구복지관!E47+[1]강서복지관!E47+[1]강서자활!E47</f>
        <v>0</v>
      </c>
      <c r="F47" s="345">
        <f>[1]사무국!F47+[1]진구복지관!F47+[1]강서복지관!F47+[1]강서자활!F47</f>
        <v>0</v>
      </c>
      <c r="G47" s="410">
        <f t="shared" si="2"/>
        <v>0</v>
      </c>
      <c r="H47" s="415" t="s">
        <v>369</v>
      </c>
      <c r="I47" s="374" t="s">
        <v>370</v>
      </c>
      <c r="J47" s="374" t="s">
        <v>335</v>
      </c>
      <c r="K47" s="892">
        <f>[1]사무국!K47+[1]진구복지관!K47+[1]강서복지관!K47+[1]강서자활!K47</f>
        <v>0</v>
      </c>
      <c r="L47" s="892">
        <f>[1]사무국!L47+[1]진구복지관!L47+[1]강서복지관!L47+[1]강서자활!L47</f>
        <v>0</v>
      </c>
      <c r="M47" s="141">
        <f t="shared" si="3"/>
        <v>0</v>
      </c>
    </row>
    <row r="48" spans="1:13">
      <c r="A48" s="769"/>
      <c r="B48" s="369" t="s">
        <v>108</v>
      </c>
      <c r="C48" s="369" t="s">
        <v>109</v>
      </c>
      <c r="D48" s="350" t="s">
        <v>110</v>
      </c>
      <c r="E48" s="345">
        <v>922000</v>
      </c>
      <c r="F48" s="345">
        <v>814270</v>
      </c>
      <c r="G48" s="410">
        <f t="shared" si="2"/>
        <v>107730</v>
      </c>
      <c r="H48" s="411" t="s">
        <v>371</v>
      </c>
      <c r="I48" s="319" t="s">
        <v>372</v>
      </c>
      <c r="J48" s="319" t="s">
        <v>113</v>
      </c>
      <c r="K48" s="891">
        <f>[1]사무국!K48+[1]진구복지관!K48+[1]강서복지관!K48+[1]강서자활!K48</f>
        <v>0</v>
      </c>
      <c r="L48" s="891">
        <f>[1]사무국!L48+[1]진구복지관!L48+[1]강서복지관!L48+[1]강서자활!L48</f>
        <v>0</v>
      </c>
      <c r="M48" s="141">
        <f t="shared" si="3"/>
        <v>0</v>
      </c>
    </row>
    <row r="49" spans="1:13">
      <c r="A49" s="769"/>
      <c r="B49" s="373" t="s">
        <v>373</v>
      </c>
      <c r="C49" s="369" t="s">
        <v>374</v>
      </c>
      <c r="D49" s="350" t="s">
        <v>375</v>
      </c>
      <c r="E49" s="340">
        <f>[1]사무국!E49+[1]진구복지관!E49+[1]강서복지관!E49+[1]강서자활!E49</f>
        <v>6044927</v>
      </c>
      <c r="F49" s="345">
        <f>[1]사무국!F49+[1]진구복지관!F49+[1]강서복지관!F49+[1]강서자활!F49</f>
        <v>5221353</v>
      </c>
      <c r="G49" s="410">
        <f t="shared" si="2"/>
        <v>823574</v>
      </c>
      <c r="H49" s="415" t="s">
        <v>376</v>
      </c>
      <c r="I49" s="374" t="s">
        <v>377</v>
      </c>
      <c r="J49" s="374" t="s">
        <v>378</v>
      </c>
      <c r="K49" s="892">
        <f>[1]사무국!K49+[1]진구복지관!K49+[1]강서복지관!K49+[1]강서자활!K49+59892579</f>
        <v>138498958</v>
      </c>
      <c r="L49" s="892">
        <f>[1]사무국!L49+[1]진구복지관!L49+[1]강서복지관!L49+[1]강서자활!L49+59893297</f>
        <v>138499888</v>
      </c>
      <c r="M49" s="141">
        <f t="shared" si="3"/>
        <v>-930</v>
      </c>
    </row>
    <row r="50" spans="1:13">
      <c r="A50" s="769"/>
      <c r="B50" s="377" t="s">
        <v>379</v>
      </c>
      <c r="C50" s="378" t="s">
        <v>380</v>
      </c>
      <c r="D50" s="378" t="s">
        <v>340</v>
      </c>
      <c r="E50" s="367">
        <f>[1]사무국!E50+[1]진구복지관!E50+[1]강서복지관!E50+[1]강서자활!E50+7926043</f>
        <v>79643524</v>
      </c>
      <c r="F50" s="367">
        <f>[1]사무국!F50+[1]진구복지관!F50+[1]강서복지관!F50+[1]강서자활!F50</f>
        <v>0</v>
      </c>
      <c r="G50" s="410">
        <f t="shared" si="2"/>
        <v>79643524</v>
      </c>
      <c r="H50" s="416" t="s">
        <v>381</v>
      </c>
      <c r="I50" s="372" t="s">
        <v>382</v>
      </c>
      <c r="J50" s="372" t="s">
        <v>383</v>
      </c>
      <c r="K50" s="893">
        <f>[1]사무국!K50+[1]진구복지관!K50+[1]강서복지관!K50+[1]강서자활!K50+3956000</f>
        <v>7009944</v>
      </c>
      <c r="L50" s="893">
        <f>[1]사무국!L50+[1]진구복지관!L50+[1]강서복지관!L50+[1]강서자활!L50+3223394</f>
        <v>6120609</v>
      </c>
      <c r="M50" s="141">
        <f t="shared" si="3"/>
        <v>889335</v>
      </c>
    </row>
    <row r="51" spans="1:13" ht="27">
      <c r="A51" s="417"/>
      <c r="B51" s="882" t="s">
        <v>352</v>
      </c>
      <c r="C51" s="384" t="s">
        <v>353</v>
      </c>
      <c r="D51" s="384" t="s">
        <v>354</v>
      </c>
      <c r="E51" s="883"/>
      <c r="F51" s="883">
        <f>81542658+19276806+17665285</f>
        <v>118484749</v>
      </c>
      <c r="G51" s="884">
        <f t="shared" ref="G51" si="4">E51-F51</f>
        <v>-118484749</v>
      </c>
      <c r="H51" s="885" t="s">
        <v>657</v>
      </c>
      <c r="I51" s="886" t="s">
        <v>658</v>
      </c>
      <c r="J51" s="886" t="s">
        <v>659</v>
      </c>
      <c r="K51" s="894">
        <v>122362000</v>
      </c>
      <c r="L51" s="894">
        <v>118926000</v>
      </c>
      <c r="M51" s="131">
        <f t="shared" ref="M51:M52" si="5">K51-L51</f>
        <v>3436000</v>
      </c>
    </row>
    <row r="52" spans="1:13" ht="27.75" thickBot="1">
      <c r="A52" s="417"/>
      <c r="B52" s="392"/>
      <c r="C52" s="333"/>
      <c r="D52" s="333"/>
      <c r="E52" s="323"/>
      <c r="F52" s="323"/>
      <c r="G52" s="418"/>
      <c r="H52" s="412" t="s">
        <v>660</v>
      </c>
      <c r="I52" s="320" t="s">
        <v>661</v>
      </c>
      <c r="J52" s="320" t="s">
        <v>664</v>
      </c>
      <c r="K52" s="890">
        <v>606640000</v>
      </c>
      <c r="L52" s="890">
        <v>603872902</v>
      </c>
      <c r="M52" s="131">
        <f t="shared" si="5"/>
        <v>2767098</v>
      </c>
    </row>
    <row r="53" spans="1:13" ht="18" thickTop="1" thickBot="1">
      <c r="A53" s="419"/>
      <c r="B53" s="420" t="s">
        <v>79</v>
      </c>
      <c r="C53" s="421"/>
      <c r="D53" s="422"/>
      <c r="E53" s="362">
        <f>SUM(E40:E52)</f>
        <v>3059653473</v>
      </c>
      <c r="F53" s="362">
        <f>SUM(F40:F52)</f>
        <v>3043513325</v>
      </c>
      <c r="G53" s="423">
        <f>SUM(G40:G52)</f>
        <v>16140148</v>
      </c>
      <c r="H53" s="424" t="s">
        <v>79</v>
      </c>
      <c r="I53" s="422"/>
      <c r="J53" s="422"/>
      <c r="K53" s="362">
        <f>SUM(K40:K52)</f>
        <v>3059653473</v>
      </c>
      <c r="L53" s="362">
        <f>SUM(L40:L52)</f>
        <v>3043513325</v>
      </c>
      <c r="M53" s="165">
        <f>SUM(M40:M52)</f>
        <v>16140148</v>
      </c>
    </row>
    <row r="54" spans="1:13" ht="18" thickTop="1" thickBot="1">
      <c r="A54" s="425"/>
      <c r="B54" s="426" t="s">
        <v>178</v>
      </c>
      <c r="C54" s="427"/>
      <c r="D54" s="427"/>
      <c r="E54" s="428">
        <f>[1]사무국!E53+[1]진구복지관!E53+[1]강서복지관!E53+[1]강서자활!E53</f>
        <v>7604480238</v>
      </c>
      <c r="F54" s="428">
        <f>[1]사무국!F53+[1]진구복지관!F53+[1]강서복지관!F53+[1]강서자활!F53</f>
        <v>7505779954</v>
      </c>
      <c r="G54" s="429">
        <f>E54-F54</f>
        <v>98700284</v>
      </c>
      <c r="H54" s="430" t="s">
        <v>178</v>
      </c>
      <c r="I54" s="427"/>
      <c r="J54" s="427"/>
      <c r="K54" s="431">
        <f>K22+K39+K53</f>
        <v>8967202928</v>
      </c>
      <c r="L54" s="431">
        <f>L22+L39+L53</f>
        <v>8858004294</v>
      </c>
      <c r="M54" s="171">
        <f>K54-L54</f>
        <v>109198634</v>
      </c>
    </row>
  </sheetData>
  <mergeCells count="57">
    <mergeCell ref="A5:M5"/>
    <mergeCell ref="A1:B1"/>
    <mergeCell ref="A2:B2"/>
    <mergeCell ref="C2:D2"/>
    <mergeCell ref="A3:M3"/>
    <mergeCell ref="A4:M4"/>
    <mergeCell ref="A6:M6"/>
    <mergeCell ref="A7:A9"/>
    <mergeCell ref="B7:G7"/>
    <mergeCell ref="H7:M7"/>
    <mergeCell ref="B8:D8"/>
    <mergeCell ref="E8:E9"/>
    <mergeCell ref="F8:F9"/>
    <mergeCell ref="G8:G9"/>
    <mergeCell ref="H8:J8"/>
    <mergeCell ref="K8:K9"/>
    <mergeCell ref="H20:H21"/>
    <mergeCell ref="I20:I21"/>
    <mergeCell ref="L8:L9"/>
    <mergeCell ref="M8:M9"/>
    <mergeCell ref="A10:A21"/>
    <mergeCell ref="B10:B14"/>
    <mergeCell ref="H10:H11"/>
    <mergeCell ref="I10:I11"/>
    <mergeCell ref="J10:J11"/>
    <mergeCell ref="H12:H13"/>
    <mergeCell ref="I12:I13"/>
    <mergeCell ref="J12:J13"/>
    <mergeCell ref="H16:H17"/>
    <mergeCell ref="I16:I17"/>
    <mergeCell ref="H18:H19"/>
    <mergeCell ref="I18:I19"/>
    <mergeCell ref="J18:J19"/>
    <mergeCell ref="A23:A37"/>
    <mergeCell ref="B23:B25"/>
    <mergeCell ref="H25:H28"/>
    <mergeCell ref="I25:I28"/>
    <mergeCell ref="B27:B28"/>
    <mergeCell ref="C27:C28"/>
    <mergeCell ref="D27:D28"/>
    <mergeCell ref="H29:H30"/>
    <mergeCell ref="I29:I30"/>
    <mergeCell ref="B33:B34"/>
    <mergeCell ref="C33:C34"/>
    <mergeCell ref="H33:H35"/>
    <mergeCell ref="I33:I35"/>
    <mergeCell ref="J33:J35"/>
    <mergeCell ref="B36:B37"/>
    <mergeCell ref="C36:C37"/>
    <mergeCell ref="A40:A50"/>
    <mergeCell ref="B40:B42"/>
    <mergeCell ref="H42:H43"/>
    <mergeCell ref="I42:I43"/>
    <mergeCell ref="J42:J43"/>
    <mergeCell ref="B43:B44"/>
    <mergeCell ref="C43:C44"/>
    <mergeCell ref="D43:D44"/>
  </mergeCells>
  <phoneticPr fontId="3" type="noConversion"/>
  <pageMargins left="0.25" right="0.25" top="0.75" bottom="0.75" header="0.3" footer="0.3"/>
  <pageSetup paperSize="9" scale="5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4"/>
  <sheetViews>
    <sheetView view="pageBreakPreview" topLeftCell="A17" zoomScaleNormal="100" zoomScaleSheetLayoutView="100" workbookViewId="0">
      <selection activeCell="L20" sqref="L20"/>
    </sheetView>
  </sheetViews>
  <sheetFormatPr defaultRowHeight="16.5"/>
  <cols>
    <col min="1" max="1" width="5" style="1" bestFit="1" customWidth="1"/>
    <col min="2" max="2" width="11.25" style="1" customWidth="1"/>
    <col min="3" max="3" width="16.25" style="1" customWidth="1"/>
    <col min="4" max="4" width="14.625" style="1" customWidth="1"/>
    <col min="5" max="5" width="13.125" style="1" bestFit="1" customWidth="1"/>
    <col min="6" max="6" width="13.5" style="1" customWidth="1"/>
    <col min="7" max="7" width="12.75" style="1" customWidth="1"/>
    <col min="8" max="8" width="16.5" style="1" customWidth="1"/>
    <col min="9" max="10" width="16.25" style="1" customWidth="1"/>
    <col min="11" max="11" width="13.125" style="1" bestFit="1" customWidth="1"/>
    <col min="12" max="12" width="12.875" style="1" customWidth="1"/>
    <col min="13" max="13" width="13.25" style="1" customWidth="1"/>
    <col min="14" max="256" width="9" style="1"/>
    <col min="257" max="257" width="5" style="1" bestFit="1" customWidth="1"/>
    <col min="258" max="258" width="11.25" style="1" customWidth="1"/>
    <col min="259" max="259" width="16.25" style="1" customWidth="1"/>
    <col min="260" max="260" width="14.625" style="1" customWidth="1"/>
    <col min="261" max="261" width="13.125" style="1" bestFit="1" customWidth="1"/>
    <col min="262" max="262" width="13.5" style="1" customWidth="1"/>
    <col min="263" max="263" width="12.75" style="1" customWidth="1"/>
    <col min="264" max="264" width="16.5" style="1" customWidth="1"/>
    <col min="265" max="266" width="16.25" style="1" customWidth="1"/>
    <col min="267" max="267" width="13.125" style="1" bestFit="1" customWidth="1"/>
    <col min="268" max="268" width="12.875" style="1" customWidth="1"/>
    <col min="269" max="269" width="13.25" style="1" customWidth="1"/>
    <col min="270" max="512" width="9" style="1"/>
    <col min="513" max="513" width="5" style="1" bestFit="1" customWidth="1"/>
    <col min="514" max="514" width="11.25" style="1" customWidth="1"/>
    <col min="515" max="515" width="16.25" style="1" customWidth="1"/>
    <col min="516" max="516" width="14.625" style="1" customWidth="1"/>
    <col min="517" max="517" width="13.125" style="1" bestFit="1" customWidth="1"/>
    <col min="518" max="518" width="13.5" style="1" customWidth="1"/>
    <col min="519" max="519" width="12.75" style="1" customWidth="1"/>
    <col min="520" max="520" width="16.5" style="1" customWidth="1"/>
    <col min="521" max="522" width="16.25" style="1" customWidth="1"/>
    <col min="523" max="523" width="13.125" style="1" bestFit="1" customWidth="1"/>
    <col min="524" max="524" width="12.875" style="1" customWidth="1"/>
    <col min="525" max="525" width="13.25" style="1" customWidth="1"/>
    <col min="526" max="768" width="9" style="1"/>
    <col min="769" max="769" width="5" style="1" bestFit="1" customWidth="1"/>
    <col min="770" max="770" width="11.25" style="1" customWidth="1"/>
    <col min="771" max="771" width="16.25" style="1" customWidth="1"/>
    <col min="772" max="772" width="14.625" style="1" customWidth="1"/>
    <col min="773" max="773" width="13.125" style="1" bestFit="1" customWidth="1"/>
    <col min="774" max="774" width="13.5" style="1" customWidth="1"/>
    <col min="775" max="775" width="12.75" style="1" customWidth="1"/>
    <col min="776" max="776" width="16.5" style="1" customWidth="1"/>
    <col min="777" max="778" width="16.25" style="1" customWidth="1"/>
    <col min="779" max="779" width="13.125" style="1" bestFit="1" customWidth="1"/>
    <col min="780" max="780" width="12.875" style="1" customWidth="1"/>
    <col min="781" max="781" width="13.25" style="1" customWidth="1"/>
    <col min="782" max="1024" width="9" style="1"/>
    <col min="1025" max="1025" width="5" style="1" bestFit="1" customWidth="1"/>
    <col min="1026" max="1026" width="11.25" style="1" customWidth="1"/>
    <col min="1027" max="1027" width="16.25" style="1" customWidth="1"/>
    <col min="1028" max="1028" width="14.625" style="1" customWidth="1"/>
    <col min="1029" max="1029" width="13.125" style="1" bestFit="1" customWidth="1"/>
    <col min="1030" max="1030" width="13.5" style="1" customWidth="1"/>
    <col min="1031" max="1031" width="12.75" style="1" customWidth="1"/>
    <col min="1032" max="1032" width="16.5" style="1" customWidth="1"/>
    <col min="1033" max="1034" width="16.25" style="1" customWidth="1"/>
    <col min="1035" max="1035" width="13.125" style="1" bestFit="1" customWidth="1"/>
    <col min="1036" max="1036" width="12.875" style="1" customWidth="1"/>
    <col min="1037" max="1037" width="13.25" style="1" customWidth="1"/>
    <col min="1038" max="1280" width="9" style="1"/>
    <col min="1281" max="1281" width="5" style="1" bestFit="1" customWidth="1"/>
    <col min="1282" max="1282" width="11.25" style="1" customWidth="1"/>
    <col min="1283" max="1283" width="16.25" style="1" customWidth="1"/>
    <col min="1284" max="1284" width="14.625" style="1" customWidth="1"/>
    <col min="1285" max="1285" width="13.125" style="1" bestFit="1" customWidth="1"/>
    <col min="1286" max="1286" width="13.5" style="1" customWidth="1"/>
    <col min="1287" max="1287" width="12.75" style="1" customWidth="1"/>
    <col min="1288" max="1288" width="16.5" style="1" customWidth="1"/>
    <col min="1289" max="1290" width="16.25" style="1" customWidth="1"/>
    <col min="1291" max="1291" width="13.125" style="1" bestFit="1" customWidth="1"/>
    <col min="1292" max="1292" width="12.875" style="1" customWidth="1"/>
    <col min="1293" max="1293" width="13.25" style="1" customWidth="1"/>
    <col min="1294" max="1536" width="9" style="1"/>
    <col min="1537" max="1537" width="5" style="1" bestFit="1" customWidth="1"/>
    <col min="1538" max="1538" width="11.25" style="1" customWidth="1"/>
    <col min="1539" max="1539" width="16.25" style="1" customWidth="1"/>
    <col min="1540" max="1540" width="14.625" style="1" customWidth="1"/>
    <col min="1541" max="1541" width="13.125" style="1" bestFit="1" customWidth="1"/>
    <col min="1542" max="1542" width="13.5" style="1" customWidth="1"/>
    <col min="1543" max="1543" width="12.75" style="1" customWidth="1"/>
    <col min="1544" max="1544" width="16.5" style="1" customWidth="1"/>
    <col min="1545" max="1546" width="16.25" style="1" customWidth="1"/>
    <col min="1547" max="1547" width="13.125" style="1" bestFit="1" customWidth="1"/>
    <col min="1548" max="1548" width="12.875" style="1" customWidth="1"/>
    <col min="1549" max="1549" width="13.25" style="1" customWidth="1"/>
    <col min="1550" max="1792" width="9" style="1"/>
    <col min="1793" max="1793" width="5" style="1" bestFit="1" customWidth="1"/>
    <col min="1794" max="1794" width="11.25" style="1" customWidth="1"/>
    <col min="1795" max="1795" width="16.25" style="1" customWidth="1"/>
    <col min="1796" max="1796" width="14.625" style="1" customWidth="1"/>
    <col min="1797" max="1797" width="13.125" style="1" bestFit="1" customWidth="1"/>
    <col min="1798" max="1798" width="13.5" style="1" customWidth="1"/>
    <col min="1799" max="1799" width="12.75" style="1" customWidth="1"/>
    <col min="1800" max="1800" width="16.5" style="1" customWidth="1"/>
    <col min="1801" max="1802" width="16.25" style="1" customWidth="1"/>
    <col min="1803" max="1803" width="13.125" style="1" bestFit="1" customWidth="1"/>
    <col min="1804" max="1804" width="12.875" style="1" customWidth="1"/>
    <col min="1805" max="1805" width="13.25" style="1" customWidth="1"/>
    <col min="1806" max="2048" width="9" style="1"/>
    <col min="2049" max="2049" width="5" style="1" bestFit="1" customWidth="1"/>
    <col min="2050" max="2050" width="11.25" style="1" customWidth="1"/>
    <col min="2051" max="2051" width="16.25" style="1" customWidth="1"/>
    <col min="2052" max="2052" width="14.625" style="1" customWidth="1"/>
    <col min="2053" max="2053" width="13.125" style="1" bestFit="1" customWidth="1"/>
    <col min="2054" max="2054" width="13.5" style="1" customWidth="1"/>
    <col min="2055" max="2055" width="12.75" style="1" customWidth="1"/>
    <col min="2056" max="2056" width="16.5" style="1" customWidth="1"/>
    <col min="2057" max="2058" width="16.25" style="1" customWidth="1"/>
    <col min="2059" max="2059" width="13.125" style="1" bestFit="1" customWidth="1"/>
    <col min="2060" max="2060" width="12.875" style="1" customWidth="1"/>
    <col min="2061" max="2061" width="13.25" style="1" customWidth="1"/>
    <col min="2062" max="2304" width="9" style="1"/>
    <col min="2305" max="2305" width="5" style="1" bestFit="1" customWidth="1"/>
    <col min="2306" max="2306" width="11.25" style="1" customWidth="1"/>
    <col min="2307" max="2307" width="16.25" style="1" customWidth="1"/>
    <col min="2308" max="2308" width="14.625" style="1" customWidth="1"/>
    <col min="2309" max="2309" width="13.125" style="1" bestFit="1" customWidth="1"/>
    <col min="2310" max="2310" width="13.5" style="1" customWidth="1"/>
    <col min="2311" max="2311" width="12.75" style="1" customWidth="1"/>
    <col min="2312" max="2312" width="16.5" style="1" customWidth="1"/>
    <col min="2313" max="2314" width="16.25" style="1" customWidth="1"/>
    <col min="2315" max="2315" width="13.125" style="1" bestFit="1" customWidth="1"/>
    <col min="2316" max="2316" width="12.875" style="1" customWidth="1"/>
    <col min="2317" max="2317" width="13.25" style="1" customWidth="1"/>
    <col min="2318" max="2560" width="9" style="1"/>
    <col min="2561" max="2561" width="5" style="1" bestFit="1" customWidth="1"/>
    <col min="2562" max="2562" width="11.25" style="1" customWidth="1"/>
    <col min="2563" max="2563" width="16.25" style="1" customWidth="1"/>
    <col min="2564" max="2564" width="14.625" style="1" customWidth="1"/>
    <col min="2565" max="2565" width="13.125" style="1" bestFit="1" customWidth="1"/>
    <col min="2566" max="2566" width="13.5" style="1" customWidth="1"/>
    <col min="2567" max="2567" width="12.75" style="1" customWidth="1"/>
    <col min="2568" max="2568" width="16.5" style="1" customWidth="1"/>
    <col min="2569" max="2570" width="16.25" style="1" customWidth="1"/>
    <col min="2571" max="2571" width="13.125" style="1" bestFit="1" customWidth="1"/>
    <col min="2572" max="2572" width="12.875" style="1" customWidth="1"/>
    <col min="2573" max="2573" width="13.25" style="1" customWidth="1"/>
    <col min="2574" max="2816" width="9" style="1"/>
    <col min="2817" max="2817" width="5" style="1" bestFit="1" customWidth="1"/>
    <col min="2818" max="2818" width="11.25" style="1" customWidth="1"/>
    <col min="2819" max="2819" width="16.25" style="1" customWidth="1"/>
    <col min="2820" max="2820" width="14.625" style="1" customWidth="1"/>
    <col min="2821" max="2821" width="13.125" style="1" bestFit="1" customWidth="1"/>
    <col min="2822" max="2822" width="13.5" style="1" customWidth="1"/>
    <col min="2823" max="2823" width="12.75" style="1" customWidth="1"/>
    <col min="2824" max="2824" width="16.5" style="1" customWidth="1"/>
    <col min="2825" max="2826" width="16.25" style="1" customWidth="1"/>
    <col min="2827" max="2827" width="13.125" style="1" bestFit="1" customWidth="1"/>
    <col min="2828" max="2828" width="12.875" style="1" customWidth="1"/>
    <col min="2829" max="2829" width="13.25" style="1" customWidth="1"/>
    <col min="2830" max="3072" width="9" style="1"/>
    <col min="3073" max="3073" width="5" style="1" bestFit="1" customWidth="1"/>
    <col min="3074" max="3074" width="11.25" style="1" customWidth="1"/>
    <col min="3075" max="3075" width="16.25" style="1" customWidth="1"/>
    <col min="3076" max="3076" width="14.625" style="1" customWidth="1"/>
    <col min="3077" max="3077" width="13.125" style="1" bestFit="1" customWidth="1"/>
    <col min="3078" max="3078" width="13.5" style="1" customWidth="1"/>
    <col min="3079" max="3079" width="12.75" style="1" customWidth="1"/>
    <col min="3080" max="3080" width="16.5" style="1" customWidth="1"/>
    <col min="3081" max="3082" width="16.25" style="1" customWidth="1"/>
    <col min="3083" max="3083" width="13.125" style="1" bestFit="1" customWidth="1"/>
    <col min="3084" max="3084" width="12.875" style="1" customWidth="1"/>
    <col min="3085" max="3085" width="13.25" style="1" customWidth="1"/>
    <col min="3086" max="3328" width="9" style="1"/>
    <col min="3329" max="3329" width="5" style="1" bestFit="1" customWidth="1"/>
    <col min="3330" max="3330" width="11.25" style="1" customWidth="1"/>
    <col min="3331" max="3331" width="16.25" style="1" customWidth="1"/>
    <col min="3332" max="3332" width="14.625" style="1" customWidth="1"/>
    <col min="3333" max="3333" width="13.125" style="1" bestFit="1" customWidth="1"/>
    <col min="3334" max="3334" width="13.5" style="1" customWidth="1"/>
    <col min="3335" max="3335" width="12.75" style="1" customWidth="1"/>
    <col min="3336" max="3336" width="16.5" style="1" customWidth="1"/>
    <col min="3337" max="3338" width="16.25" style="1" customWidth="1"/>
    <col min="3339" max="3339" width="13.125" style="1" bestFit="1" customWidth="1"/>
    <col min="3340" max="3340" width="12.875" style="1" customWidth="1"/>
    <col min="3341" max="3341" width="13.25" style="1" customWidth="1"/>
    <col min="3342" max="3584" width="9" style="1"/>
    <col min="3585" max="3585" width="5" style="1" bestFit="1" customWidth="1"/>
    <col min="3586" max="3586" width="11.25" style="1" customWidth="1"/>
    <col min="3587" max="3587" width="16.25" style="1" customWidth="1"/>
    <col min="3588" max="3588" width="14.625" style="1" customWidth="1"/>
    <col min="3589" max="3589" width="13.125" style="1" bestFit="1" customWidth="1"/>
    <col min="3590" max="3590" width="13.5" style="1" customWidth="1"/>
    <col min="3591" max="3591" width="12.75" style="1" customWidth="1"/>
    <col min="3592" max="3592" width="16.5" style="1" customWidth="1"/>
    <col min="3593" max="3594" width="16.25" style="1" customWidth="1"/>
    <col min="3595" max="3595" width="13.125" style="1" bestFit="1" customWidth="1"/>
    <col min="3596" max="3596" width="12.875" style="1" customWidth="1"/>
    <col min="3597" max="3597" width="13.25" style="1" customWidth="1"/>
    <col min="3598" max="3840" width="9" style="1"/>
    <col min="3841" max="3841" width="5" style="1" bestFit="1" customWidth="1"/>
    <col min="3842" max="3842" width="11.25" style="1" customWidth="1"/>
    <col min="3843" max="3843" width="16.25" style="1" customWidth="1"/>
    <col min="3844" max="3844" width="14.625" style="1" customWidth="1"/>
    <col min="3845" max="3845" width="13.125" style="1" bestFit="1" customWidth="1"/>
    <col min="3846" max="3846" width="13.5" style="1" customWidth="1"/>
    <col min="3847" max="3847" width="12.75" style="1" customWidth="1"/>
    <col min="3848" max="3848" width="16.5" style="1" customWidth="1"/>
    <col min="3849" max="3850" width="16.25" style="1" customWidth="1"/>
    <col min="3851" max="3851" width="13.125" style="1" bestFit="1" customWidth="1"/>
    <col min="3852" max="3852" width="12.875" style="1" customWidth="1"/>
    <col min="3853" max="3853" width="13.25" style="1" customWidth="1"/>
    <col min="3854" max="4096" width="9" style="1"/>
    <col min="4097" max="4097" width="5" style="1" bestFit="1" customWidth="1"/>
    <col min="4098" max="4098" width="11.25" style="1" customWidth="1"/>
    <col min="4099" max="4099" width="16.25" style="1" customWidth="1"/>
    <col min="4100" max="4100" width="14.625" style="1" customWidth="1"/>
    <col min="4101" max="4101" width="13.125" style="1" bestFit="1" customWidth="1"/>
    <col min="4102" max="4102" width="13.5" style="1" customWidth="1"/>
    <col min="4103" max="4103" width="12.75" style="1" customWidth="1"/>
    <col min="4104" max="4104" width="16.5" style="1" customWidth="1"/>
    <col min="4105" max="4106" width="16.25" style="1" customWidth="1"/>
    <col min="4107" max="4107" width="13.125" style="1" bestFit="1" customWidth="1"/>
    <col min="4108" max="4108" width="12.875" style="1" customWidth="1"/>
    <col min="4109" max="4109" width="13.25" style="1" customWidth="1"/>
    <col min="4110" max="4352" width="9" style="1"/>
    <col min="4353" max="4353" width="5" style="1" bestFit="1" customWidth="1"/>
    <col min="4354" max="4354" width="11.25" style="1" customWidth="1"/>
    <col min="4355" max="4355" width="16.25" style="1" customWidth="1"/>
    <col min="4356" max="4356" width="14.625" style="1" customWidth="1"/>
    <col min="4357" max="4357" width="13.125" style="1" bestFit="1" customWidth="1"/>
    <col min="4358" max="4358" width="13.5" style="1" customWidth="1"/>
    <col min="4359" max="4359" width="12.75" style="1" customWidth="1"/>
    <col min="4360" max="4360" width="16.5" style="1" customWidth="1"/>
    <col min="4361" max="4362" width="16.25" style="1" customWidth="1"/>
    <col min="4363" max="4363" width="13.125" style="1" bestFit="1" customWidth="1"/>
    <col min="4364" max="4364" width="12.875" style="1" customWidth="1"/>
    <col min="4365" max="4365" width="13.25" style="1" customWidth="1"/>
    <col min="4366" max="4608" width="9" style="1"/>
    <col min="4609" max="4609" width="5" style="1" bestFit="1" customWidth="1"/>
    <col min="4610" max="4610" width="11.25" style="1" customWidth="1"/>
    <col min="4611" max="4611" width="16.25" style="1" customWidth="1"/>
    <col min="4612" max="4612" width="14.625" style="1" customWidth="1"/>
    <col min="4613" max="4613" width="13.125" style="1" bestFit="1" customWidth="1"/>
    <col min="4614" max="4614" width="13.5" style="1" customWidth="1"/>
    <col min="4615" max="4615" width="12.75" style="1" customWidth="1"/>
    <col min="4616" max="4616" width="16.5" style="1" customWidth="1"/>
    <col min="4617" max="4618" width="16.25" style="1" customWidth="1"/>
    <col min="4619" max="4619" width="13.125" style="1" bestFit="1" customWidth="1"/>
    <col min="4620" max="4620" width="12.875" style="1" customWidth="1"/>
    <col min="4621" max="4621" width="13.25" style="1" customWidth="1"/>
    <col min="4622" max="4864" width="9" style="1"/>
    <col min="4865" max="4865" width="5" style="1" bestFit="1" customWidth="1"/>
    <col min="4866" max="4866" width="11.25" style="1" customWidth="1"/>
    <col min="4867" max="4867" width="16.25" style="1" customWidth="1"/>
    <col min="4868" max="4868" width="14.625" style="1" customWidth="1"/>
    <col min="4869" max="4869" width="13.125" style="1" bestFit="1" customWidth="1"/>
    <col min="4870" max="4870" width="13.5" style="1" customWidth="1"/>
    <col min="4871" max="4871" width="12.75" style="1" customWidth="1"/>
    <col min="4872" max="4872" width="16.5" style="1" customWidth="1"/>
    <col min="4873" max="4874" width="16.25" style="1" customWidth="1"/>
    <col min="4875" max="4875" width="13.125" style="1" bestFit="1" customWidth="1"/>
    <col min="4876" max="4876" width="12.875" style="1" customWidth="1"/>
    <col min="4877" max="4877" width="13.25" style="1" customWidth="1"/>
    <col min="4878" max="5120" width="9" style="1"/>
    <col min="5121" max="5121" width="5" style="1" bestFit="1" customWidth="1"/>
    <col min="5122" max="5122" width="11.25" style="1" customWidth="1"/>
    <col min="5123" max="5123" width="16.25" style="1" customWidth="1"/>
    <col min="5124" max="5124" width="14.625" style="1" customWidth="1"/>
    <col min="5125" max="5125" width="13.125" style="1" bestFit="1" customWidth="1"/>
    <col min="5126" max="5126" width="13.5" style="1" customWidth="1"/>
    <col min="5127" max="5127" width="12.75" style="1" customWidth="1"/>
    <col min="5128" max="5128" width="16.5" style="1" customWidth="1"/>
    <col min="5129" max="5130" width="16.25" style="1" customWidth="1"/>
    <col min="5131" max="5131" width="13.125" style="1" bestFit="1" customWidth="1"/>
    <col min="5132" max="5132" width="12.875" style="1" customWidth="1"/>
    <col min="5133" max="5133" width="13.25" style="1" customWidth="1"/>
    <col min="5134" max="5376" width="9" style="1"/>
    <col min="5377" max="5377" width="5" style="1" bestFit="1" customWidth="1"/>
    <col min="5378" max="5378" width="11.25" style="1" customWidth="1"/>
    <col min="5379" max="5379" width="16.25" style="1" customWidth="1"/>
    <col min="5380" max="5380" width="14.625" style="1" customWidth="1"/>
    <col min="5381" max="5381" width="13.125" style="1" bestFit="1" customWidth="1"/>
    <col min="5382" max="5382" width="13.5" style="1" customWidth="1"/>
    <col min="5383" max="5383" width="12.75" style="1" customWidth="1"/>
    <col min="5384" max="5384" width="16.5" style="1" customWidth="1"/>
    <col min="5385" max="5386" width="16.25" style="1" customWidth="1"/>
    <col min="5387" max="5387" width="13.125" style="1" bestFit="1" customWidth="1"/>
    <col min="5388" max="5388" width="12.875" style="1" customWidth="1"/>
    <col min="5389" max="5389" width="13.25" style="1" customWidth="1"/>
    <col min="5390" max="5632" width="9" style="1"/>
    <col min="5633" max="5633" width="5" style="1" bestFit="1" customWidth="1"/>
    <col min="5634" max="5634" width="11.25" style="1" customWidth="1"/>
    <col min="5635" max="5635" width="16.25" style="1" customWidth="1"/>
    <col min="5636" max="5636" width="14.625" style="1" customWidth="1"/>
    <col min="5637" max="5637" width="13.125" style="1" bestFit="1" customWidth="1"/>
    <col min="5638" max="5638" width="13.5" style="1" customWidth="1"/>
    <col min="5639" max="5639" width="12.75" style="1" customWidth="1"/>
    <col min="5640" max="5640" width="16.5" style="1" customWidth="1"/>
    <col min="5641" max="5642" width="16.25" style="1" customWidth="1"/>
    <col min="5643" max="5643" width="13.125" style="1" bestFit="1" customWidth="1"/>
    <col min="5644" max="5644" width="12.875" style="1" customWidth="1"/>
    <col min="5645" max="5645" width="13.25" style="1" customWidth="1"/>
    <col min="5646" max="5888" width="9" style="1"/>
    <col min="5889" max="5889" width="5" style="1" bestFit="1" customWidth="1"/>
    <col min="5890" max="5890" width="11.25" style="1" customWidth="1"/>
    <col min="5891" max="5891" width="16.25" style="1" customWidth="1"/>
    <col min="5892" max="5892" width="14.625" style="1" customWidth="1"/>
    <col min="5893" max="5893" width="13.125" style="1" bestFit="1" customWidth="1"/>
    <col min="5894" max="5894" width="13.5" style="1" customWidth="1"/>
    <col min="5895" max="5895" width="12.75" style="1" customWidth="1"/>
    <col min="5896" max="5896" width="16.5" style="1" customWidth="1"/>
    <col min="5897" max="5898" width="16.25" style="1" customWidth="1"/>
    <col min="5899" max="5899" width="13.125" style="1" bestFit="1" customWidth="1"/>
    <col min="5900" max="5900" width="12.875" style="1" customWidth="1"/>
    <col min="5901" max="5901" width="13.25" style="1" customWidth="1"/>
    <col min="5902" max="6144" width="9" style="1"/>
    <col min="6145" max="6145" width="5" style="1" bestFit="1" customWidth="1"/>
    <col min="6146" max="6146" width="11.25" style="1" customWidth="1"/>
    <col min="6147" max="6147" width="16.25" style="1" customWidth="1"/>
    <col min="6148" max="6148" width="14.625" style="1" customWidth="1"/>
    <col min="6149" max="6149" width="13.125" style="1" bestFit="1" customWidth="1"/>
    <col min="6150" max="6150" width="13.5" style="1" customWidth="1"/>
    <col min="6151" max="6151" width="12.75" style="1" customWidth="1"/>
    <col min="6152" max="6152" width="16.5" style="1" customWidth="1"/>
    <col min="6153" max="6154" width="16.25" style="1" customWidth="1"/>
    <col min="6155" max="6155" width="13.125" style="1" bestFit="1" customWidth="1"/>
    <col min="6156" max="6156" width="12.875" style="1" customWidth="1"/>
    <col min="6157" max="6157" width="13.25" style="1" customWidth="1"/>
    <col min="6158" max="6400" width="9" style="1"/>
    <col min="6401" max="6401" width="5" style="1" bestFit="1" customWidth="1"/>
    <col min="6402" max="6402" width="11.25" style="1" customWidth="1"/>
    <col min="6403" max="6403" width="16.25" style="1" customWidth="1"/>
    <col min="6404" max="6404" width="14.625" style="1" customWidth="1"/>
    <col min="6405" max="6405" width="13.125" style="1" bestFit="1" customWidth="1"/>
    <col min="6406" max="6406" width="13.5" style="1" customWidth="1"/>
    <col min="6407" max="6407" width="12.75" style="1" customWidth="1"/>
    <col min="6408" max="6408" width="16.5" style="1" customWidth="1"/>
    <col min="6409" max="6410" width="16.25" style="1" customWidth="1"/>
    <col min="6411" max="6411" width="13.125" style="1" bestFit="1" customWidth="1"/>
    <col min="6412" max="6412" width="12.875" style="1" customWidth="1"/>
    <col min="6413" max="6413" width="13.25" style="1" customWidth="1"/>
    <col min="6414" max="6656" width="9" style="1"/>
    <col min="6657" max="6657" width="5" style="1" bestFit="1" customWidth="1"/>
    <col min="6658" max="6658" width="11.25" style="1" customWidth="1"/>
    <col min="6659" max="6659" width="16.25" style="1" customWidth="1"/>
    <col min="6660" max="6660" width="14.625" style="1" customWidth="1"/>
    <col min="6661" max="6661" width="13.125" style="1" bestFit="1" customWidth="1"/>
    <col min="6662" max="6662" width="13.5" style="1" customWidth="1"/>
    <col min="6663" max="6663" width="12.75" style="1" customWidth="1"/>
    <col min="6664" max="6664" width="16.5" style="1" customWidth="1"/>
    <col min="6665" max="6666" width="16.25" style="1" customWidth="1"/>
    <col min="6667" max="6667" width="13.125" style="1" bestFit="1" customWidth="1"/>
    <col min="6668" max="6668" width="12.875" style="1" customWidth="1"/>
    <col min="6669" max="6669" width="13.25" style="1" customWidth="1"/>
    <col min="6670" max="6912" width="9" style="1"/>
    <col min="6913" max="6913" width="5" style="1" bestFit="1" customWidth="1"/>
    <col min="6914" max="6914" width="11.25" style="1" customWidth="1"/>
    <col min="6915" max="6915" width="16.25" style="1" customWidth="1"/>
    <col min="6916" max="6916" width="14.625" style="1" customWidth="1"/>
    <col min="6917" max="6917" width="13.125" style="1" bestFit="1" customWidth="1"/>
    <col min="6918" max="6918" width="13.5" style="1" customWidth="1"/>
    <col min="6919" max="6919" width="12.75" style="1" customWidth="1"/>
    <col min="6920" max="6920" width="16.5" style="1" customWidth="1"/>
    <col min="6921" max="6922" width="16.25" style="1" customWidth="1"/>
    <col min="6923" max="6923" width="13.125" style="1" bestFit="1" customWidth="1"/>
    <col min="6924" max="6924" width="12.875" style="1" customWidth="1"/>
    <col min="6925" max="6925" width="13.25" style="1" customWidth="1"/>
    <col min="6926" max="7168" width="9" style="1"/>
    <col min="7169" max="7169" width="5" style="1" bestFit="1" customWidth="1"/>
    <col min="7170" max="7170" width="11.25" style="1" customWidth="1"/>
    <col min="7171" max="7171" width="16.25" style="1" customWidth="1"/>
    <col min="7172" max="7172" width="14.625" style="1" customWidth="1"/>
    <col min="7173" max="7173" width="13.125" style="1" bestFit="1" customWidth="1"/>
    <col min="7174" max="7174" width="13.5" style="1" customWidth="1"/>
    <col min="7175" max="7175" width="12.75" style="1" customWidth="1"/>
    <col min="7176" max="7176" width="16.5" style="1" customWidth="1"/>
    <col min="7177" max="7178" width="16.25" style="1" customWidth="1"/>
    <col min="7179" max="7179" width="13.125" style="1" bestFit="1" customWidth="1"/>
    <col min="7180" max="7180" width="12.875" style="1" customWidth="1"/>
    <col min="7181" max="7181" width="13.25" style="1" customWidth="1"/>
    <col min="7182" max="7424" width="9" style="1"/>
    <col min="7425" max="7425" width="5" style="1" bestFit="1" customWidth="1"/>
    <col min="7426" max="7426" width="11.25" style="1" customWidth="1"/>
    <col min="7427" max="7427" width="16.25" style="1" customWidth="1"/>
    <col min="7428" max="7428" width="14.625" style="1" customWidth="1"/>
    <col min="7429" max="7429" width="13.125" style="1" bestFit="1" customWidth="1"/>
    <col min="7430" max="7430" width="13.5" style="1" customWidth="1"/>
    <col min="7431" max="7431" width="12.75" style="1" customWidth="1"/>
    <col min="7432" max="7432" width="16.5" style="1" customWidth="1"/>
    <col min="7433" max="7434" width="16.25" style="1" customWidth="1"/>
    <col min="7435" max="7435" width="13.125" style="1" bestFit="1" customWidth="1"/>
    <col min="7436" max="7436" width="12.875" style="1" customWidth="1"/>
    <col min="7437" max="7437" width="13.25" style="1" customWidth="1"/>
    <col min="7438" max="7680" width="9" style="1"/>
    <col min="7681" max="7681" width="5" style="1" bestFit="1" customWidth="1"/>
    <col min="7682" max="7682" width="11.25" style="1" customWidth="1"/>
    <col min="7683" max="7683" width="16.25" style="1" customWidth="1"/>
    <col min="7684" max="7684" width="14.625" style="1" customWidth="1"/>
    <col min="7685" max="7685" width="13.125" style="1" bestFit="1" customWidth="1"/>
    <col min="7686" max="7686" width="13.5" style="1" customWidth="1"/>
    <col min="7687" max="7687" width="12.75" style="1" customWidth="1"/>
    <col min="7688" max="7688" width="16.5" style="1" customWidth="1"/>
    <col min="7689" max="7690" width="16.25" style="1" customWidth="1"/>
    <col min="7691" max="7691" width="13.125" style="1" bestFit="1" customWidth="1"/>
    <col min="7692" max="7692" width="12.875" style="1" customWidth="1"/>
    <col min="7693" max="7693" width="13.25" style="1" customWidth="1"/>
    <col min="7694" max="7936" width="9" style="1"/>
    <col min="7937" max="7937" width="5" style="1" bestFit="1" customWidth="1"/>
    <col min="7938" max="7938" width="11.25" style="1" customWidth="1"/>
    <col min="7939" max="7939" width="16.25" style="1" customWidth="1"/>
    <col min="7940" max="7940" width="14.625" style="1" customWidth="1"/>
    <col min="7941" max="7941" width="13.125" style="1" bestFit="1" customWidth="1"/>
    <col min="7942" max="7942" width="13.5" style="1" customWidth="1"/>
    <col min="7943" max="7943" width="12.75" style="1" customWidth="1"/>
    <col min="7944" max="7944" width="16.5" style="1" customWidth="1"/>
    <col min="7945" max="7946" width="16.25" style="1" customWidth="1"/>
    <col min="7947" max="7947" width="13.125" style="1" bestFit="1" customWidth="1"/>
    <col min="7948" max="7948" width="12.875" style="1" customWidth="1"/>
    <col min="7949" max="7949" width="13.25" style="1" customWidth="1"/>
    <col min="7950" max="8192" width="9" style="1"/>
    <col min="8193" max="8193" width="5" style="1" bestFit="1" customWidth="1"/>
    <col min="8194" max="8194" width="11.25" style="1" customWidth="1"/>
    <col min="8195" max="8195" width="16.25" style="1" customWidth="1"/>
    <col min="8196" max="8196" width="14.625" style="1" customWidth="1"/>
    <col min="8197" max="8197" width="13.125" style="1" bestFit="1" customWidth="1"/>
    <col min="8198" max="8198" width="13.5" style="1" customWidth="1"/>
    <col min="8199" max="8199" width="12.75" style="1" customWidth="1"/>
    <col min="8200" max="8200" width="16.5" style="1" customWidth="1"/>
    <col min="8201" max="8202" width="16.25" style="1" customWidth="1"/>
    <col min="8203" max="8203" width="13.125" style="1" bestFit="1" customWidth="1"/>
    <col min="8204" max="8204" width="12.875" style="1" customWidth="1"/>
    <col min="8205" max="8205" width="13.25" style="1" customWidth="1"/>
    <col min="8206" max="8448" width="9" style="1"/>
    <col min="8449" max="8449" width="5" style="1" bestFit="1" customWidth="1"/>
    <col min="8450" max="8450" width="11.25" style="1" customWidth="1"/>
    <col min="8451" max="8451" width="16.25" style="1" customWidth="1"/>
    <col min="8452" max="8452" width="14.625" style="1" customWidth="1"/>
    <col min="8453" max="8453" width="13.125" style="1" bestFit="1" customWidth="1"/>
    <col min="8454" max="8454" width="13.5" style="1" customWidth="1"/>
    <col min="8455" max="8455" width="12.75" style="1" customWidth="1"/>
    <col min="8456" max="8456" width="16.5" style="1" customWidth="1"/>
    <col min="8457" max="8458" width="16.25" style="1" customWidth="1"/>
    <col min="8459" max="8459" width="13.125" style="1" bestFit="1" customWidth="1"/>
    <col min="8460" max="8460" width="12.875" style="1" customWidth="1"/>
    <col min="8461" max="8461" width="13.25" style="1" customWidth="1"/>
    <col min="8462" max="8704" width="9" style="1"/>
    <col min="8705" max="8705" width="5" style="1" bestFit="1" customWidth="1"/>
    <col min="8706" max="8706" width="11.25" style="1" customWidth="1"/>
    <col min="8707" max="8707" width="16.25" style="1" customWidth="1"/>
    <col min="8708" max="8708" width="14.625" style="1" customWidth="1"/>
    <col min="8709" max="8709" width="13.125" style="1" bestFit="1" customWidth="1"/>
    <col min="8710" max="8710" width="13.5" style="1" customWidth="1"/>
    <col min="8711" max="8711" width="12.75" style="1" customWidth="1"/>
    <col min="8712" max="8712" width="16.5" style="1" customWidth="1"/>
    <col min="8713" max="8714" width="16.25" style="1" customWidth="1"/>
    <col min="8715" max="8715" width="13.125" style="1" bestFit="1" customWidth="1"/>
    <col min="8716" max="8716" width="12.875" style="1" customWidth="1"/>
    <col min="8717" max="8717" width="13.25" style="1" customWidth="1"/>
    <col min="8718" max="8960" width="9" style="1"/>
    <col min="8961" max="8961" width="5" style="1" bestFit="1" customWidth="1"/>
    <col min="8962" max="8962" width="11.25" style="1" customWidth="1"/>
    <col min="8963" max="8963" width="16.25" style="1" customWidth="1"/>
    <col min="8964" max="8964" width="14.625" style="1" customWidth="1"/>
    <col min="8965" max="8965" width="13.125" style="1" bestFit="1" customWidth="1"/>
    <col min="8966" max="8966" width="13.5" style="1" customWidth="1"/>
    <col min="8967" max="8967" width="12.75" style="1" customWidth="1"/>
    <col min="8968" max="8968" width="16.5" style="1" customWidth="1"/>
    <col min="8969" max="8970" width="16.25" style="1" customWidth="1"/>
    <col min="8971" max="8971" width="13.125" style="1" bestFit="1" customWidth="1"/>
    <col min="8972" max="8972" width="12.875" style="1" customWidth="1"/>
    <col min="8973" max="8973" width="13.25" style="1" customWidth="1"/>
    <col min="8974" max="9216" width="9" style="1"/>
    <col min="9217" max="9217" width="5" style="1" bestFit="1" customWidth="1"/>
    <col min="9218" max="9218" width="11.25" style="1" customWidth="1"/>
    <col min="9219" max="9219" width="16.25" style="1" customWidth="1"/>
    <col min="9220" max="9220" width="14.625" style="1" customWidth="1"/>
    <col min="9221" max="9221" width="13.125" style="1" bestFit="1" customWidth="1"/>
    <col min="9222" max="9222" width="13.5" style="1" customWidth="1"/>
    <col min="9223" max="9223" width="12.75" style="1" customWidth="1"/>
    <col min="9224" max="9224" width="16.5" style="1" customWidth="1"/>
    <col min="9225" max="9226" width="16.25" style="1" customWidth="1"/>
    <col min="9227" max="9227" width="13.125" style="1" bestFit="1" customWidth="1"/>
    <col min="9228" max="9228" width="12.875" style="1" customWidth="1"/>
    <col min="9229" max="9229" width="13.25" style="1" customWidth="1"/>
    <col min="9230" max="9472" width="9" style="1"/>
    <col min="9473" max="9473" width="5" style="1" bestFit="1" customWidth="1"/>
    <col min="9474" max="9474" width="11.25" style="1" customWidth="1"/>
    <col min="9475" max="9475" width="16.25" style="1" customWidth="1"/>
    <col min="9476" max="9476" width="14.625" style="1" customWidth="1"/>
    <col min="9477" max="9477" width="13.125" style="1" bestFit="1" customWidth="1"/>
    <col min="9478" max="9478" width="13.5" style="1" customWidth="1"/>
    <col min="9479" max="9479" width="12.75" style="1" customWidth="1"/>
    <col min="9480" max="9480" width="16.5" style="1" customWidth="1"/>
    <col min="9481" max="9482" width="16.25" style="1" customWidth="1"/>
    <col min="9483" max="9483" width="13.125" style="1" bestFit="1" customWidth="1"/>
    <col min="9484" max="9484" width="12.875" style="1" customWidth="1"/>
    <col min="9485" max="9485" width="13.25" style="1" customWidth="1"/>
    <col min="9486" max="9728" width="9" style="1"/>
    <col min="9729" max="9729" width="5" style="1" bestFit="1" customWidth="1"/>
    <col min="9730" max="9730" width="11.25" style="1" customWidth="1"/>
    <col min="9731" max="9731" width="16.25" style="1" customWidth="1"/>
    <col min="9732" max="9732" width="14.625" style="1" customWidth="1"/>
    <col min="9733" max="9733" width="13.125" style="1" bestFit="1" customWidth="1"/>
    <col min="9734" max="9734" width="13.5" style="1" customWidth="1"/>
    <col min="9735" max="9735" width="12.75" style="1" customWidth="1"/>
    <col min="9736" max="9736" width="16.5" style="1" customWidth="1"/>
    <col min="9737" max="9738" width="16.25" style="1" customWidth="1"/>
    <col min="9739" max="9739" width="13.125" style="1" bestFit="1" customWidth="1"/>
    <col min="9740" max="9740" width="12.875" style="1" customWidth="1"/>
    <col min="9741" max="9741" width="13.25" style="1" customWidth="1"/>
    <col min="9742" max="9984" width="9" style="1"/>
    <col min="9985" max="9985" width="5" style="1" bestFit="1" customWidth="1"/>
    <col min="9986" max="9986" width="11.25" style="1" customWidth="1"/>
    <col min="9987" max="9987" width="16.25" style="1" customWidth="1"/>
    <col min="9988" max="9988" width="14.625" style="1" customWidth="1"/>
    <col min="9989" max="9989" width="13.125" style="1" bestFit="1" customWidth="1"/>
    <col min="9990" max="9990" width="13.5" style="1" customWidth="1"/>
    <col min="9991" max="9991" width="12.75" style="1" customWidth="1"/>
    <col min="9992" max="9992" width="16.5" style="1" customWidth="1"/>
    <col min="9993" max="9994" width="16.25" style="1" customWidth="1"/>
    <col min="9995" max="9995" width="13.125" style="1" bestFit="1" customWidth="1"/>
    <col min="9996" max="9996" width="12.875" style="1" customWidth="1"/>
    <col min="9997" max="9997" width="13.25" style="1" customWidth="1"/>
    <col min="9998" max="10240" width="9" style="1"/>
    <col min="10241" max="10241" width="5" style="1" bestFit="1" customWidth="1"/>
    <col min="10242" max="10242" width="11.25" style="1" customWidth="1"/>
    <col min="10243" max="10243" width="16.25" style="1" customWidth="1"/>
    <col min="10244" max="10244" width="14.625" style="1" customWidth="1"/>
    <col min="10245" max="10245" width="13.125" style="1" bestFit="1" customWidth="1"/>
    <col min="10246" max="10246" width="13.5" style="1" customWidth="1"/>
    <col min="10247" max="10247" width="12.75" style="1" customWidth="1"/>
    <col min="10248" max="10248" width="16.5" style="1" customWidth="1"/>
    <col min="10249" max="10250" width="16.25" style="1" customWidth="1"/>
    <col min="10251" max="10251" width="13.125" style="1" bestFit="1" customWidth="1"/>
    <col min="10252" max="10252" width="12.875" style="1" customWidth="1"/>
    <col min="10253" max="10253" width="13.25" style="1" customWidth="1"/>
    <col min="10254" max="10496" width="9" style="1"/>
    <col min="10497" max="10497" width="5" style="1" bestFit="1" customWidth="1"/>
    <col min="10498" max="10498" width="11.25" style="1" customWidth="1"/>
    <col min="10499" max="10499" width="16.25" style="1" customWidth="1"/>
    <col min="10500" max="10500" width="14.625" style="1" customWidth="1"/>
    <col min="10501" max="10501" width="13.125" style="1" bestFit="1" customWidth="1"/>
    <col min="10502" max="10502" width="13.5" style="1" customWidth="1"/>
    <col min="10503" max="10503" width="12.75" style="1" customWidth="1"/>
    <col min="10504" max="10504" width="16.5" style="1" customWidth="1"/>
    <col min="10505" max="10506" width="16.25" style="1" customWidth="1"/>
    <col min="10507" max="10507" width="13.125" style="1" bestFit="1" customWidth="1"/>
    <col min="10508" max="10508" width="12.875" style="1" customWidth="1"/>
    <col min="10509" max="10509" width="13.25" style="1" customWidth="1"/>
    <col min="10510" max="10752" width="9" style="1"/>
    <col min="10753" max="10753" width="5" style="1" bestFit="1" customWidth="1"/>
    <col min="10754" max="10754" width="11.25" style="1" customWidth="1"/>
    <col min="10755" max="10755" width="16.25" style="1" customWidth="1"/>
    <col min="10756" max="10756" width="14.625" style="1" customWidth="1"/>
    <col min="10757" max="10757" width="13.125" style="1" bestFit="1" customWidth="1"/>
    <col min="10758" max="10758" width="13.5" style="1" customWidth="1"/>
    <col min="10759" max="10759" width="12.75" style="1" customWidth="1"/>
    <col min="10760" max="10760" width="16.5" style="1" customWidth="1"/>
    <col min="10761" max="10762" width="16.25" style="1" customWidth="1"/>
    <col min="10763" max="10763" width="13.125" style="1" bestFit="1" customWidth="1"/>
    <col min="10764" max="10764" width="12.875" style="1" customWidth="1"/>
    <col min="10765" max="10765" width="13.25" style="1" customWidth="1"/>
    <col min="10766" max="11008" width="9" style="1"/>
    <col min="11009" max="11009" width="5" style="1" bestFit="1" customWidth="1"/>
    <col min="11010" max="11010" width="11.25" style="1" customWidth="1"/>
    <col min="11011" max="11011" width="16.25" style="1" customWidth="1"/>
    <col min="11012" max="11012" width="14.625" style="1" customWidth="1"/>
    <col min="11013" max="11013" width="13.125" style="1" bestFit="1" customWidth="1"/>
    <col min="11014" max="11014" width="13.5" style="1" customWidth="1"/>
    <col min="11015" max="11015" width="12.75" style="1" customWidth="1"/>
    <col min="11016" max="11016" width="16.5" style="1" customWidth="1"/>
    <col min="11017" max="11018" width="16.25" style="1" customWidth="1"/>
    <col min="11019" max="11019" width="13.125" style="1" bestFit="1" customWidth="1"/>
    <col min="11020" max="11020" width="12.875" style="1" customWidth="1"/>
    <col min="11021" max="11021" width="13.25" style="1" customWidth="1"/>
    <col min="11022" max="11264" width="9" style="1"/>
    <col min="11265" max="11265" width="5" style="1" bestFit="1" customWidth="1"/>
    <col min="11266" max="11266" width="11.25" style="1" customWidth="1"/>
    <col min="11267" max="11267" width="16.25" style="1" customWidth="1"/>
    <col min="11268" max="11268" width="14.625" style="1" customWidth="1"/>
    <col min="11269" max="11269" width="13.125" style="1" bestFit="1" customWidth="1"/>
    <col min="11270" max="11270" width="13.5" style="1" customWidth="1"/>
    <col min="11271" max="11271" width="12.75" style="1" customWidth="1"/>
    <col min="11272" max="11272" width="16.5" style="1" customWidth="1"/>
    <col min="11273" max="11274" width="16.25" style="1" customWidth="1"/>
    <col min="11275" max="11275" width="13.125" style="1" bestFit="1" customWidth="1"/>
    <col min="11276" max="11276" width="12.875" style="1" customWidth="1"/>
    <col min="11277" max="11277" width="13.25" style="1" customWidth="1"/>
    <col min="11278" max="11520" width="9" style="1"/>
    <col min="11521" max="11521" width="5" style="1" bestFit="1" customWidth="1"/>
    <col min="11522" max="11522" width="11.25" style="1" customWidth="1"/>
    <col min="11523" max="11523" width="16.25" style="1" customWidth="1"/>
    <col min="11524" max="11524" width="14.625" style="1" customWidth="1"/>
    <col min="11525" max="11525" width="13.125" style="1" bestFit="1" customWidth="1"/>
    <col min="11526" max="11526" width="13.5" style="1" customWidth="1"/>
    <col min="11527" max="11527" width="12.75" style="1" customWidth="1"/>
    <col min="11528" max="11528" width="16.5" style="1" customWidth="1"/>
    <col min="11529" max="11530" width="16.25" style="1" customWidth="1"/>
    <col min="11531" max="11531" width="13.125" style="1" bestFit="1" customWidth="1"/>
    <col min="11532" max="11532" width="12.875" style="1" customWidth="1"/>
    <col min="11533" max="11533" width="13.25" style="1" customWidth="1"/>
    <col min="11534" max="11776" width="9" style="1"/>
    <col min="11777" max="11777" width="5" style="1" bestFit="1" customWidth="1"/>
    <col min="11778" max="11778" width="11.25" style="1" customWidth="1"/>
    <col min="11779" max="11779" width="16.25" style="1" customWidth="1"/>
    <col min="11780" max="11780" width="14.625" style="1" customWidth="1"/>
    <col min="11781" max="11781" width="13.125" style="1" bestFit="1" customWidth="1"/>
    <col min="11782" max="11782" width="13.5" style="1" customWidth="1"/>
    <col min="11783" max="11783" width="12.75" style="1" customWidth="1"/>
    <col min="11784" max="11784" width="16.5" style="1" customWidth="1"/>
    <col min="11785" max="11786" width="16.25" style="1" customWidth="1"/>
    <col min="11787" max="11787" width="13.125" style="1" bestFit="1" customWidth="1"/>
    <col min="11788" max="11788" width="12.875" style="1" customWidth="1"/>
    <col min="11789" max="11789" width="13.25" style="1" customWidth="1"/>
    <col min="11790" max="12032" width="9" style="1"/>
    <col min="12033" max="12033" width="5" style="1" bestFit="1" customWidth="1"/>
    <col min="12034" max="12034" width="11.25" style="1" customWidth="1"/>
    <col min="12035" max="12035" width="16.25" style="1" customWidth="1"/>
    <col min="12036" max="12036" width="14.625" style="1" customWidth="1"/>
    <col min="12037" max="12037" width="13.125" style="1" bestFit="1" customWidth="1"/>
    <col min="12038" max="12038" width="13.5" style="1" customWidth="1"/>
    <col min="12039" max="12039" width="12.75" style="1" customWidth="1"/>
    <col min="12040" max="12040" width="16.5" style="1" customWidth="1"/>
    <col min="12041" max="12042" width="16.25" style="1" customWidth="1"/>
    <col min="12043" max="12043" width="13.125" style="1" bestFit="1" customWidth="1"/>
    <col min="12044" max="12044" width="12.875" style="1" customWidth="1"/>
    <col min="12045" max="12045" width="13.25" style="1" customWidth="1"/>
    <col min="12046" max="12288" width="9" style="1"/>
    <col min="12289" max="12289" width="5" style="1" bestFit="1" customWidth="1"/>
    <col min="12290" max="12290" width="11.25" style="1" customWidth="1"/>
    <col min="12291" max="12291" width="16.25" style="1" customWidth="1"/>
    <col min="12292" max="12292" width="14.625" style="1" customWidth="1"/>
    <col min="12293" max="12293" width="13.125" style="1" bestFit="1" customWidth="1"/>
    <col min="12294" max="12294" width="13.5" style="1" customWidth="1"/>
    <col min="12295" max="12295" width="12.75" style="1" customWidth="1"/>
    <col min="12296" max="12296" width="16.5" style="1" customWidth="1"/>
    <col min="12297" max="12298" width="16.25" style="1" customWidth="1"/>
    <col min="12299" max="12299" width="13.125" style="1" bestFit="1" customWidth="1"/>
    <col min="12300" max="12300" width="12.875" style="1" customWidth="1"/>
    <col min="12301" max="12301" width="13.25" style="1" customWidth="1"/>
    <col min="12302" max="12544" width="9" style="1"/>
    <col min="12545" max="12545" width="5" style="1" bestFit="1" customWidth="1"/>
    <col min="12546" max="12546" width="11.25" style="1" customWidth="1"/>
    <col min="12547" max="12547" width="16.25" style="1" customWidth="1"/>
    <col min="12548" max="12548" width="14.625" style="1" customWidth="1"/>
    <col min="12549" max="12549" width="13.125" style="1" bestFit="1" customWidth="1"/>
    <col min="12550" max="12550" width="13.5" style="1" customWidth="1"/>
    <col min="12551" max="12551" width="12.75" style="1" customWidth="1"/>
    <col min="12552" max="12552" width="16.5" style="1" customWidth="1"/>
    <col min="12553" max="12554" width="16.25" style="1" customWidth="1"/>
    <col min="12555" max="12555" width="13.125" style="1" bestFit="1" customWidth="1"/>
    <col min="12556" max="12556" width="12.875" style="1" customWidth="1"/>
    <col min="12557" max="12557" width="13.25" style="1" customWidth="1"/>
    <col min="12558" max="12800" width="9" style="1"/>
    <col min="12801" max="12801" width="5" style="1" bestFit="1" customWidth="1"/>
    <col min="12802" max="12802" width="11.25" style="1" customWidth="1"/>
    <col min="12803" max="12803" width="16.25" style="1" customWidth="1"/>
    <col min="12804" max="12804" width="14.625" style="1" customWidth="1"/>
    <col min="12805" max="12805" width="13.125" style="1" bestFit="1" customWidth="1"/>
    <col min="12806" max="12806" width="13.5" style="1" customWidth="1"/>
    <col min="12807" max="12807" width="12.75" style="1" customWidth="1"/>
    <col min="12808" max="12808" width="16.5" style="1" customWidth="1"/>
    <col min="12809" max="12810" width="16.25" style="1" customWidth="1"/>
    <col min="12811" max="12811" width="13.125" style="1" bestFit="1" customWidth="1"/>
    <col min="12812" max="12812" width="12.875" style="1" customWidth="1"/>
    <col min="12813" max="12813" width="13.25" style="1" customWidth="1"/>
    <col min="12814" max="13056" width="9" style="1"/>
    <col min="13057" max="13057" width="5" style="1" bestFit="1" customWidth="1"/>
    <col min="13058" max="13058" width="11.25" style="1" customWidth="1"/>
    <col min="13059" max="13059" width="16.25" style="1" customWidth="1"/>
    <col min="13060" max="13060" width="14.625" style="1" customWidth="1"/>
    <col min="13061" max="13061" width="13.125" style="1" bestFit="1" customWidth="1"/>
    <col min="13062" max="13062" width="13.5" style="1" customWidth="1"/>
    <col min="13063" max="13063" width="12.75" style="1" customWidth="1"/>
    <col min="13064" max="13064" width="16.5" style="1" customWidth="1"/>
    <col min="13065" max="13066" width="16.25" style="1" customWidth="1"/>
    <col min="13067" max="13067" width="13.125" style="1" bestFit="1" customWidth="1"/>
    <col min="13068" max="13068" width="12.875" style="1" customWidth="1"/>
    <col min="13069" max="13069" width="13.25" style="1" customWidth="1"/>
    <col min="13070" max="13312" width="9" style="1"/>
    <col min="13313" max="13313" width="5" style="1" bestFit="1" customWidth="1"/>
    <col min="13314" max="13314" width="11.25" style="1" customWidth="1"/>
    <col min="13315" max="13315" width="16.25" style="1" customWidth="1"/>
    <col min="13316" max="13316" width="14.625" style="1" customWidth="1"/>
    <col min="13317" max="13317" width="13.125" style="1" bestFit="1" customWidth="1"/>
    <col min="13318" max="13318" width="13.5" style="1" customWidth="1"/>
    <col min="13319" max="13319" width="12.75" style="1" customWidth="1"/>
    <col min="13320" max="13320" width="16.5" style="1" customWidth="1"/>
    <col min="13321" max="13322" width="16.25" style="1" customWidth="1"/>
    <col min="13323" max="13323" width="13.125" style="1" bestFit="1" customWidth="1"/>
    <col min="13324" max="13324" width="12.875" style="1" customWidth="1"/>
    <col min="13325" max="13325" width="13.25" style="1" customWidth="1"/>
    <col min="13326" max="13568" width="9" style="1"/>
    <col min="13569" max="13569" width="5" style="1" bestFit="1" customWidth="1"/>
    <col min="13570" max="13570" width="11.25" style="1" customWidth="1"/>
    <col min="13571" max="13571" width="16.25" style="1" customWidth="1"/>
    <col min="13572" max="13572" width="14.625" style="1" customWidth="1"/>
    <col min="13573" max="13573" width="13.125" style="1" bestFit="1" customWidth="1"/>
    <col min="13574" max="13574" width="13.5" style="1" customWidth="1"/>
    <col min="13575" max="13575" width="12.75" style="1" customWidth="1"/>
    <col min="13576" max="13576" width="16.5" style="1" customWidth="1"/>
    <col min="13577" max="13578" width="16.25" style="1" customWidth="1"/>
    <col min="13579" max="13579" width="13.125" style="1" bestFit="1" customWidth="1"/>
    <col min="13580" max="13580" width="12.875" style="1" customWidth="1"/>
    <col min="13581" max="13581" width="13.25" style="1" customWidth="1"/>
    <col min="13582" max="13824" width="9" style="1"/>
    <col min="13825" max="13825" width="5" style="1" bestFit="1" customWidth="1"/>
    <col min="13826" max="13826" width="11.25" style="1" customWidth="1"/>
    <col min="13827" max="13827" width="16.25" style="1" customWidth="1"/>
    <col min="13828" max="13828" width="14.625" style="1" customWidth="1"/>
    <col min="13829" max="13829" width="13.125" style="1" bestFit="1" customWidth="1"/>
    <col min="13830" max="13830" width="13.5" style="1" customWidth="1"/>
    <col min="13831" max="13831" width="12.75" style="1" customWidth="1"/>
    <col min="13832" max="13832" width="16.5" style="1" customWidth="1"/>
    <col min="13833" max="13834" width="16.25" style="1" customWidth="1"/>
    <col min="13835" max="13835" width="13.125" style="1" bestFit="1" customWidth="1"/>
    <col min="13836" max="13836" width="12.875" style="1" customWidth="1"/>
    <col min="13837" max="13837" width="13.25" style="1" customWidth="1"/>
    <col min="13838" max="14080" width="9" style="1"/>
    <col min="14081" max="14081" width="5" style="1" bestFit="1" customWidth="1"/>
    <col min="14082" max="14082" width="11.25" style="1" customWidth="1"/>
    <col min="14083" max="14083" width="16.25" style="1" customWidth="1"/>
    <col min="14084" max="14084" width="14.625" style="1" customWidth="1"/>
    <col min="14085" max="14085" width="13.125" style="1" bestFit="1" customWidth="1"/>
    <col min="14086" max="14086" width="13.5" style="1" customWidth="1"/>
    <col min="14087" max="14087" width="12.75" style="1" customWidth="1"/>
    <col min="14088" max="14088" width="16.5" style="1" customWidth="1"/>
    <col min="14089" max="14090" width="16.25" style="1" customWidth="1"/>
    <col min="14091" max="14091" width="13.125" style="1" bestFit="1" customWidth="1"/>
    <col min="14092" max="14092" width="12.875" style="1" customWidth="1"/>
    <col min="14093" max="14093" width="13.25" style="1" customWidth="1"/>
    <col min="14094" max="14336" width="9" style="1"/>
    <col min="14337" max="14337" width="5" style="1" bestFit="1" customWidth="1"/>
    <col min="14338" max="14338" width="11.25" style="1" customWidth="1"/>
    <col min="14339" max="14339" width="16.25" style="1" customWidth="1"/>
    <col min="14340" max="14340" width="14.625" style="1" customWidth="1"/>
    <col min="14341" max="14341" width="13.125" style="1" bestFit="1" customWidth="1"/>
    <col min="14342" max="14342" width="13.5" style="1" customWidth="1"/>
    <col min="14343" max="14343" width="12.75" style="1" customWidth="1"/>
    <col min="14344" max="14344" width="16.5" style="1" customWidth="1"/>
    <col min="14345" max="14346" width="16.25" style="1" customWidth="1"/>
    <col min="14347" max="14347" width="13.125" style="1" bestFit="1" customWidth="1"/>
    <col min="14348" max="14348" width="12.875" style="1" customWidth="1"/>
    <col min="14349" max="14349" width="13.25" style="1" customWidth="1"/>
    <col min="14350" max="14592" width="9" style="1"/>
    <col min="14593" max="14593" width="5" style="1" bestFit="1" customWidth="1"/>
    <col min="14594" max="14594" width="11.25" style="1" customWidth="1"/>
    <col min="14595" max="14595" width="16.25" style="1" customWidth="1"/>
    <col min="14596" max="14596" width="14.625" style="1" customWidth="1"/>
    <col min="14597" max="14597" width="13.125" style="1" bestFit="1" customWidth="1"/>
    <col min="14598" max="14598" width="13.5" style="1" customWidth="1"/>
    <col min="14599" max="14599" width="12.75" style="1" customWidth="1"/>
    <col min="14600" max="14600" width="16.5" style="1" customWidth="1"/>
    <col min="14601" max="14602" width="16.25" style="1" customWidth="1"/>
    <col min="14603" max="14603" width="13.125" style="1" bestFit="1" customWidth="1"/>
    <col min="14604" max="14604" width="12.875" style="1" customWidth="1"/>
    <col min="14605" max="14605" width="13.25" style="1" customWidth="1"/>
    <col min="14606" max="14848" width="9" style="1"/>
    <col min="14849" max="14849" width="5" style="1" bestFit="1" customWidth="1"/>
    <col min="14850" max="14850" width="11.25" style="1" customWidth="1"/>
    <col min="14851" max="14851" width="16.25" style="1" customWidth="1"/>
    <col min="14852" max="14852" width="14.625" style="1" customWidth="1"/>
    <col min="14853" max="14853" width="13.125" style="1" bestFit="1" customWidth="1"/>
    <col min="14854" max="14854" width="13.5" style="1" customWidth="1"/>
    <col min="14855" max="14855" width="12.75" style="1" customWidth="1"/>
    <col min="14856" max="14856" width="16.5" style="1" customWidth="1"/>
    <col min="14857" max="14858" width="16.25" style="1" customWidth="1"/>
    <col min="14859" max="14859" width="13.125" style="1" bestFit="1" customWidth="1"/>
    <col min="14860" max="14860" width="12.875" style="1" customWidth="1"/>
    <col min="14861" max="14861" width="13.25" style="1" customWidth="1"/>
    <col min="14862" max="15104" width="9" style="1"/>
    <col min="15105" max="15105" width="5" style="1" bestFit="1" customWidth="1"/>
    <col min="15106" max="15106" width="11.25" style="1" customWidth="1"/>
    <col min="15107" max="15107" width="16.25" style="1" customWidth="1"/>
    <col min="15108" max="15108" width="14.625" style="1" customWidth="1"/>
    <col min="15109" max="15109" width="13.125" style="1" bestFit="1" customWidth="1"/>
    <col min="15110" max="15110" width="13.5" style="1" customWidth="1"/>
    <col min="15111" max="15111" width="12.75" style="1" customWidth="1"/>
    <col min="15112" max="15112" width="16.5" style="1" customWidth="1"/>
    <col min="15113" max="15114" width="16.25" style="1" customWidth="1"/>
    <col min="15115" max="15115" width="13.125" style="1" bestFit="1" customWidth="1"/>
    <col min="15116" max="15116" width="12.875" style="1" customWidth="1"/>
    <col min="15117" max="15117" width="13.25" style="1" customWidth="1"/>
    <col min="15118" max="15360" width="9" style="1"/>
    <col min="15361" max="15361" width="5" style="1" bestFit="1" customWidth="1"/>
    <col min="15362" max="15362" width="11.25" style="1" customWidth="1"/>
    <col min="15363" max="15363" width="16.25" style="1" customWidth="1"/>
    <col min="15364" max="15364" width="14.625" style="1" customWidth="1"/>
    <col min="15365" max="15365" width="13.125" style="1" bestFit="1" customWidth="1"/>
    <col min="15366" max="15366" width="13.5" style="1" customWidth="1"/>
    <col min="15367" max="15367" width="12.75" style="1" customWidth="1"/>
    <col min="15368" max="15368" width="16.5" style="1" customWidth="1"/>
    <col min="15369" max="15370" width="16.25" style="1" customWidth="1"/>
    <col min="15371" max="15371" width="13.125" style="1" bestFit="1" customWidth="1"/>
    <col min="15372" max="15372" width="12.875" style="1" customWidth="1"/>
    <col min="15373" max="15373" width="13.25" style="1" customWidth="1"/>
    <col min="15374" max="15616" width="9" style="1"/>
    <col min="15617" max="15617" width="5" style="1" bestFit="1" customWidth="1"/>
    <col min="15618" max="15618" width="11.25" style="1" customWidth="1"/>
    <col min="15619" max="15619" width="16.25" style="1" customWidth="1"/>
    <col min="15620" max="15620" width="14.625" style="1" customWidth="1"/>
    <col min="15621" max="15621" width="13.125" style="1" bestFit="1" customWidth="1"/>
    <col min="15622" max="15622" width="13.5" style="1" customWidth="1"/>
    <col min="15623" max="15623" width="12.75" style="1" customWidth="1"/>
    <col min="15624" max="15624" width="16.5" style="1" customWidth="1"/>
    <col min="15625" max="15626" width="16.25" style="1" customWidth="1"/>
    <col min="15627" max="15627" width="13.125" style="1" bestFit="1" customWidth="1"/>
    <col min="15628" max="15628" width="12.875" style="1" customWidth="1"/>
    <col min="15629" max="15629" width="13.25" style="1" customWidth="1"/>
    <col min="15630" max="15872" width="9" style="1"/>
    <col min="15873" max="15873" width="5" style="1" bestFit="1" customWidth="1"/>
    <col min="15874" max="15874" width="11.25" style="1" customWidth="1"/>
    <col min="15875" max="15875" width="16.25" style="1" customWidth="1"/>
    <col min="15876" max="15876" width="14.625" style="1" customWidth="1"/>
    <col min="15877" max="15877" width="13.125" style="1" bestFit="1" customWidth="1"/>
    <col min="15878" max="15878" width="13.5" style="1" customWidth="1"/>
    <col min="15879" max="15879" width="12.75" style="1" customWidth="1"/>
    <col min="15880" max="15880" width="16.5" style="1" customWidth="1"/>
    <col min="15881" max="15882" width="16.25" style="1" customWidth="1"/>
    <col min="15883" max="15883" width="13.125" style="1" bestFit="1" customWidth="1"/>
    <col min="15884" max="15884" width="12.875" style="1" customWidth="1"/>
    <col min="15885" max="15885" width="13.25" style="1" customWidth="1"/>
    <col min="15886" max="16128" width="9" style="1"/>
    <col min="16129" max="16129" width="5" style="1" bestFit="1" customWidth="1"/>
    <col min="16130" max="16130" width="11.25" style="1" customWidth="1"/>
    <col min="16131" max="16131" width="16.25" style="1" customWidth="1"/>
    <col min="16132" max="16132" width="14.625" style="1" customWidth="1"/>
    <col min="16133" max="16133" width="13.125" style="1" bestFit="1" customWidth="1"/>
    <col min="16134" max="16134" width="13.5" style="1" customWidth="1"/>
    <col min="16135" max="16135" width="12.75" style="1" customWidth="1"/>
    <col min="16136" max="16136" width="16.5" style="1" customWidth="1"/>
    <col min="16137" max="16138" width="16.25" style="1" customWidth="1"/>
    <col min="16139" max="16139" width="13.125" style="1" bestFit="1" customWidth="1"/>
    <col min="16140" max="16140" width="12.875" style="1" customWidth="1"/>
    <col min="16141" max="16141" width="13.25" style="1" customWidth="1"/>
    <col min="16142" max="16384" width="9" style="1"/>
  </cols>
  <sheetData>
    <row r="1" spans="1:15" ht="18" customHeight="1">
      <c r="A1" s="647" t="s">
        <v>384</v>
      </c>
      <c r="B1" s="647"/>
    </row>
    <row r="2" spans="1:15" ht="18" customHeight="1">
      <c r="A2" s="648" t="s">
        <v>385</v>
      </c>
      <c r="B2" s="648"/>
      <c r="C2" s="649"/>
      <c r="D2" s="649"/>
      <c r="E2" s="2"/>
      <c r="F2" s="2"/>
    </row>
    <row r="3" spans="1:15" ht="28.5" customHeight="1">
      <c r="A3" s="650" t="s">
        <v>386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</row>
    <row r="4" spans="1:15" ht="30">
      <c r="A4" s="651" t="s">
        <v>387</v>
      </c>
      <c r="B4" s="651"/>
      <c r="C4" s="651"/>
      <c r="D4" s="651"/>
      <c r="E4" s="651"/>
      <c r="F4" s="651"/>
      <c r="G4" s="651"/>
      <c r="H4" s="651"/>
      <c r="I4" s="651"/>
      <c r="J4" s="651"/>
      <c r="K4" s="651"/>
      <c r="L4" s="651"/>
      <c r="M4" s="651"/>
    </row>
    <row r="5" spans="1:15" ht="19.5">
      <c r="A5" s="652" t="s">
        <v>388</v>
      </c>
      <c r="B5" s="652"/>
      <c r="C5" s="652"/>
      <c r="D5" s="652"/>
      <c r="E5" s="652"/>
      <c r="F5" s="652"/>
      <c r="G5" s="652"/>
      <c r="H5" s="652"/>
      <c r="I5" s="652"/>
      <c r="J5" s="652"/>
      <c r="K5" s="652"/>
      <c r="L5" s="652"/>
      <c r="M5" s="652"/>
    </row>
    <row r="6" spans="1:15" ht="24" customHeight="1" thickBot="1">
      <c r="A6" s="636" t="s">
        <v>389</v>
      </c>
      <c r="B6" s="637"/>
      <c r="C6" s="637"/>
      <c r="D6" s="637"/>
      <c r="E6" s="637"/>
      <c r="F6" s="637"/>
      <c r="G6" s="637"/>
      <c r="H6" s="636"/>
      <c r="I6" s="636"/>
      <c r="J6" s="636"/>
      <c r="K6" s="636"/>
      <c r="L6" s="636"/>
      <c r="M6" s="636"/>
    </row>
    <row r="7" spans="1:15" ht="20.25" customHeight="1">
      <c r="A7" s="625" t="s">
        <v>6</v>
      </c>
      <c r="B7" s="639" t="s">
        <v>7</v>
      </c>
      <c r="C7" s="640"/>
      <c r="D7" s="640"/>
      <c r="E7" s="640"/>
      <c r="F7" s="640"/>
      <c r="G7" s="641"/>
      <c r="H7" s="853" t="s">
        <v>8</v>
      </c>
      <c r="I7" s="853"/>
      <c r="J7" s="853"/>
      <c r="K7" s="853"/>
      <c r="L7" s="853"/>
      <c r="M7" s="854"/>
    </row>
    <row r="8" spans="1:15" ht="20.25" customHeight="1">
      <c r="A8" s="626"/>
      <c r="B8" s="642" t="s">
        <v>9</v>
      </c>
      <c r="C8" s="643"/>
      <c r="D8" s="644"/>
      <c r="E8" s="621" t="s">
        <v>390</v>
      </c>
      <c r="F8" s="621" t="s">
        <v>391</v>
      </c>
      <c r="G8" s="623" t="s">
        <v>392</v>
      </c>
      <c r="H8" s="643" t="s">
        <v>9</v>
      </c>
      <c r="I8" s="643"/>
      <c r="J8" s="644"/>
      <c r="K8" s="621" t="s">
        <v>390</v>
      </c>
      <c r="L8" s="621" t="s">
        <v>391</v>
      </c>
      <c r="M8" s="845" t="s">
        <v>392</v>
      </c>
      <c r="O8" s="3"/>
    </row>
    <row r="9" spans="1:15" ht="20.25" customHeight="1" thickBot="1">
      <c r="A9" s="638"/>
      <c r="B9" s="4" t="s">
        <v>13</v>
      </c>
      <c r="C9" s="5" t="s">
        <v>14</v>
      </c>
      <c r="D9" s="5" t="s">
        <v>15</v>
      </c>
      <c r="E9" s="622"/>
      <c r="F9" s="622"/>
      <c r="G9" s="624"/>
      <c r="H9" s="214" t="s">
        <v>13</v>
      </c>
      <c r="I9" s="5" t="s">
        <v>14</v>
      </c>
      <c r="J9" s="5" t="s">
        <v>15</v>
      </c>
      <c r="K9" s="622"/>
      <c r="L9" s="622"/>
      <c r="M9" s="846"/>
    </row>
    <row r="10" spans="1:15" ht="18.75" customHeight="1">
      <c r="A10" s="625" t="s">
        <v>393</v>
      </c>
      <c r="B10" s="627" t="s">
        <v>17</v>
      </c>
      <c r="C10" s="8" t="s">
        <v>18</v>
      </c>
      <c r="D10" s="8" t="s">
        <v>19</v>
      </c>
      <c r="E10" s="432"/>
      <c r="F10" s="432"/>
      <c r="G10" s="847"/>
      <c r="H10" s="764" t="s">
        <v>394</v>
      </c>
      <c r="I10" s="766" t="s">
        <v>21</v>
      </c>
      <c r="J10" s="766" t="s">
        <v>22</v>
      </c>
      <c r="K10" s="433"/>
      <c r="L10" s="433"/>
      <c r="M10" s="849"/>
    </row>
    <row r="11" spans="1:15" ht="18.75" customHeight="1">
      <c r="A11" s="626"/>
      <c r="B11" s="628"/>
      <c r="C11" s="15"/>
      <c r="D11" s="9" t="s">
        <v>23</v>
      </c>
      <c r="E11" s="140"/>
      <c r="F11" s="140"/>
      <c r="G11" s="848"/>
      <c r="H11" s="765"/>
      <c r="I11" s="585"/>
      <c r="J11" s="585"/>
      <c r="K11" s="206"/>
      <c r="L11" s="206"/>
      <c r="M11" s="850"/>
    </row>
    <row r="12" spans="1:15" ht="18.75" customHeight="1">
      <c r="A12" s="626"/>
      <c r="B12" s="628"/>
      <c r="C12" s="10" t="s">
        <v>24</v>
      </c>
      <c r="D12" s="10" t="s">
        <v>25</v>
      </c>
      <c r="E12" s="16"/>
      <c r="F12" s="16"/>
      <c r="G12" s="851"/>
      <c r="H12" s="734" t="s">
        <v>395</v>
      </c>
      <c r="I12" s="576" t="s">
        <v>27</v>
      </c>
      <c r="J12" s="576" t="s">
        <v>396</v>
      </c>
      <c r="K12" s="193"/>
      <c r="L12" s="193"/>
      <c r="M12" s="843"/>
    </row>
    <row r="13" spans="1:15" ht="18.75" customHeight="1">
      <c r="A13" s="626"/>
      <c r="B13" s="628"/>
      <c r="C13" s="15"/>
      <c r="D13" s="15" t="s">
        <v>397</v>
      </c>
      <c r="E13" s="140"/>
      <c r="F13" s="140"/>
      <c r="G13" s="852"/>
      <c r="H13" s="735"/>
      <c r="I13" s="577"/>
      <c r="J13" s="597"/>
      <c r="K13" s="434"/>
      <c r="L13" s="434"/>
      <c r="M13" s="844"/>
    </row>
    <row r="14" spans="1:15" ht="18.75" customHeight="1">
      <c r="A14" s="626"/>
      <c r="B14" s="629"/>
      <c r="C14" s="10" t="s">
        <v>31</v>
      </c>
      <c r="D14" s="16" t="s">
        <v>32</v>
      </c>
      <c r="E14" s="11"/>
      <c r="F14" s="11"/>
      <c r="G14" s="435"/>
      <c r="H14" s="220" t="s">
        <v>398</v>
      </c>
      <c r="I14" s="94" t="s">
        <v>399</v>
      </c>
      <c r="J14" s="61" t="s">
        <v>400</v>
      </c>
      <c r="K14" s="434"/>
      <c r="L14" s="206"/>
      <c r="M14" s="436"/>
    </row>
    <row r="15" spans="1:15" ht="18.75" customHeight="1">
      <c r="A15" s="626"/>
      <c r="B15" s="23" t="s">
        <v>401</v>
      </c>
      <c r="C15" s="10" t="s">
        <v>37</v>
      </c>
      <c r="D15" s="16" t="s">
        <v>38</v>
      </c>
      <c r="E15" s="197"/>
      <c r="F15" s="11"/>
      <c r="G15" s="437"/>
      <c r="H15" s="224" t="s">
        <v>402</v>
      </c>
      <c r="I15" s="77" t="s">
        <v>403</v>
      </c>
      <c r="J15" s="77" t="s">
        <v>404</v>
      </c>
      <c r="K15" s="193"/>
      <c r="L15" s="25"/>
      <c r="M15" s="438"/>
    </row>
    <row r="16" spans="1:15" ht="18.75" customHeight="1">
      <c r="A16" s="626"/>
      <c r="B16" s="26" t="s">
        <v>42</v>
      </c>
      <c r="C16" s="27" t="s">
        <v>43</v>
      </c>
      <c r="D16" s="28" t="s">
        <v>405</v>
      </c>
      <c r="E16" s="439"/>
      <c r="F16" s="440"/>
      <c r="G16" s="441"/>
      <c r="H16" s="734" t="s">
        <v>406</v>
      </c>
      <c r="I16" s="576" t="s">
        <v>407</v>
      </c>
      <c r="J16" s="228" t="s">
        <v>408</v>
      </c>
      <c r="K16" s="203"/>
      <c r="L16" s="25"/>
      <c r="M16" s="438"/>
    </row>
    <row r="17" spans="1:16" ht="18.75" customHeight="1">
      <c r="A17" s="626"/>
      <c r="B17" s="26" t="s">
        <v>48</v>
      </c>
      <c r="C17" s="27" t="s">
        <v>49</v>
      </c>
      <c r="D17" s="27" t="s">
        <v>50</v>
      </c>
      <c r="E17" s="140"/>
      <c r="F17" s="11"/>
      <c r="G17" s="442"/>
      <c r="H17" s="735"/>
      <c r="I17" s="577"/>
      <c r="J17" s="194" t="s">
        <v>409</v>
      </c>
      <c r="K17" s="203"/>
      <c r="L17" s="25"/>
      <c r="M17" s="438"/>
    </row>
    <row r="18" spans="1:16" ht="18.75" customHeight="1">
      <c r="A18" s="626"/>
      <c r="B18" s="26" t="s">
        <v>410</v>
      </c>
      <c r="C18" s="27" t="s">
        <v>411</v>
      </c>
      <c r="D18" s="32" t="s">
        <v>412</v>
      </c>
      <c r="E18" s="197"/>
      <c r="F18" s="11"/>
      <c r="G18" s="443"/>
      <c r="H18" s="753" t="s">
        <v>305</v>
      </c>
      <c r="I18" s="584" t="s">
        <v>306</v>
      </c>
      <c r="J18" s="584" t="s">
        <v>413</v>
      </c>
      <c r="K18" s="206"/>
      <c r="L18" s="206"/>
      <c r="M18" s="843"/>
    </row>
    <row r="19" spans="1:16" ht="18.75" customHeight="1">
      <c r="A19" s="626"/>
      <c r="B19" s="26" t="s">
        <v>414</v>
      </c>
      <c r="C19" s="27" t="s">
        <v>415</v>
      </c>
      <c r="D19" s="27" t="s">
        <v>415</v>
      </c>
      <c r="E19" s="133"/>
      <c r="F19" s="133"/>
      <c r="G19" s="286"/>
      <c r="H19" s="629"/>
      <c r="I19" s="597"/>
      <c r="J19" s="597"/>
      <c r="K19" s="206"/>
      <c r="L19" s="206"/>
      <c r="M19" s="844"/>
    </row>
    <row r="20" spans="1:16" ht="18.75" customHeight="1">
      <c r="A20" s="626"/>
      <c r="B20" s="23" t="s">
        <v>416</v>
      </c>
      <c r="C20" s="10" t="s">
        <v>417</v>
      </c>
      <c r="D20" s="10" t="s">
        <v>418</v>
      </c>
      <c r="E20" s="16"/>
      <c r="F20" s="16"/>
      <c r="G20" s="444"/>
      <c r="H20" s="750" t="s">
        <v>419</v>
      </c>
      <c r="I20" s="576" t="s">
        <v>420</v>
      </c>
      <c r="J20" s="149" t="s">
        <v>421</v>
      </c>
      <c r="K20" s="25"/>
      <c r="L20" s="25"/>
      <c r="M20" s="445"/>
    </row>
    <row r="21" spans="1:16" ht="18.75" customHeight="1" thickBot="1">
      <c r="A21" s="626"/>
      <c r="B21" s="237" t="s">
        <v>422</v>
      </c>
      <c r="C21" s="238" t="s">
        <v>423</v>
      </c>
      <c r="D21" s="238" t="s">
        <v>424</v>
      </c>
      <c r="E21" s="446"/>
      <c r="F21" s="446"/>
      <c r="G21" s="447"/>
      <c r="H21" s="751"/>
      <c r="I21" s="713"/>
      <c r="J21" s="77" t="s">
        <v>425</v>
      </c>
      <c r="K21" s="206"/>
      <c r="L21" s="206"/>
      <c r="M21" s="448"/>
    </row>
    <row r="22" spans="1:16" ht="18.75" customHeight="1" thickTop="1" thickBot="1">
      <c r="A22" s="54"/>
      <c r="B22" s="55" t="s">
        <v>79</v>
      </c>
      <c r="C22" s="56"/>
      <c r="D22" s="56"/>
      <c r="E22" s="449"/>
      <c r="F22" s="449"/>
      <c r="G22" s="450">
        <f>SUM(G10:G21)</f>
        <v>0</v>
      </c>
      <c r="H22" s="451" t="s">
        <v>79</v>
      </c>
      <c r="I22" s="452"/>
      <c r="J22" s="452"/>
      <c r="K22" s="453"/>
      <c r="L22" s="453"/>
      <c r="M22" s="454">
        <f>SUM(M10:M21)</f>
        <v>0</v>
      </c>
      <c r="P22" s="3"/>
    </row>
    <row r="23" spans="1:16" ht="18.75" customHeight="1">
      <c r="A23" s="601" t="s">
        <v>426</v>
      </c>
      <c r="B23" s="583" t="s">
        <v>17</v>
      </c>
      <c r="C23" s="61" t="s">
        <v>18</v>
      </c>
      <c r="D23" s="61" t="s">
        <v>81</v>
      </c>
      <c r="E23" s="455">
        <v>147366725</v>
      </c>
      <c r="F23" s="455">
        <v>147366725</v>
      </c>
      <c r="G23" s="456">
        <f>E23-F23</f>
        <v>0</v>
      </c>
      <c r="H23" s="840" t="s">
        <v>427</v>
      </c>
      <c r="I23" s="766" t="s">
        <v>428</v>
      </c>
      <c r="J23" s="766" t="s">
        <v>429</v>
      </c>
      <c r="K23" s="457"/>
      <c r="L23" s="457"/>
      <c r="M23" s="841">
        <f>K24-L24</f>
        <v>0</v>
      </c>
      <c r="P23" s="3"/>
    </row>
    <row r="24" spans="1:16" ht="18.75" customHeight="1">
      <c r="A24" s="602"/>
      <c r="B24" s="583"/>
      <c r="C24" s="64" t="s">
        <v>24</v>
      </c>
      <c r="D24" s="64" t="s">
        <v>85</v>
      </c>
      <c r="E24" s="130">
        <v>1610000</v>
      </c>
      <c r="F24" s="130">
        <v>1610000</v>
      </c>
      <c r="G24" s="456">
        <f t="shared" ref="G24:G37" si="0">E24-F24</f>
        <v>0</v>
      </c>
      <c r="H24" s="575"/>
      <c r="I24" s="577"/>
      <c r="J24" s="577"/>
      <c r="K24" s="458"/>
      <c r="L24" s="458"/>
      <c r="M24" s="842"/>
      <c r="P24" s="3"/>
    </row>
    <row r="25" spans="1:16" ht="18.75" customHeight="1">
      <c r="A25" s="602"/>
      <c r="B25" s="589"/>
      <c r="C25" s="64" t="s">
        <v>31</v>
      </c>
      <c r="D25" s="64" t="s">
        <v>86</v>
      </c>
      <c r="E25" s="130">
        <v>34047355</v>
      </c>
      <c r="F25" s="130">
        <v>34712535</v>
      </c>
      <c r="G25" s="456">
        <f t="shared" si="0"/>
        <v>-665180</v>
      </c>
      <c r="H25" s="582" t="s">
        <v>430</v>
      </c>
      <c r="I25" s="584" t="s">
        <v>431</v>
      </c>
      <c r="J25" s="15" t="s">
        <v>432</v>
      </c>
      <c r="K25" s="142">
        <v>195600000</v>
      </c>
      <c r="L25" s="142">
        <v>195600000</v>
      </c>
      <c r="M25" s="459">
        <f>K25-L25</f>
        <v>0</v>
      </c>
      <c r="P25" s="3"/>
    </row>
    <row r="26" spans="1:16" ht="31.5" customHeight="1">
      <c r="A26" s="602"/>
      <c r="B26" s="70" t="s">
        <v>90</v>
      </c>
      <c r="C26" s="64" t="s">
        <v>37</v>
      </c>
      <c r="D26" s="64" t="s">
        <v>91</v>
      </c>
      <c r="E26" s="130">
        <v>26020329</v>
      </c>
      <c r="F26" s="130">
        <v>12000000</v>
      </c>
      <c r="G26" s="456">
        <f t="shared" si="0"/>
        <v>14020329</v>
      </c>
      <c r="H26" s="583"/>
      <c r="I26" s="585"/>
      <c r="J26" s="71" t="s">
        <v>433</v>
      </c>
      <c r="K26" s="145">
        <v>25421000</v>
      </c>
      <c r="L26" s="145">
        <v>25421000</v>
      </c>
      <c r="M26" s="460">
        <f>K26-L26</f>
        <v>0</v>
      </c>
      <c r="P26" s="3"/>
    </row>
    <row r="27" spans="1:16" ht="18.75" customHeight="1">
      <c r="A27" s="602"/>
      <c r="B27" s="574" t="s">
        <v>434</v>
      </c>
      <c r="C27" s="576" t="s">
        <v>435</v>
      </c>
      <c r="D27" s="576" t="s">
        <v>436</v>
      </c>
      <c r="E27" s="461"/>
      <c r="F27" s="461"/>
      <c r="G27" s="838">
        <f>E28-F28</f>
        <v>0</v>
      </c>
      <c r="H27" s="583"/>
      <c r="I27" s="585"/>
      <c r="J27" s="15" t="s">
        <v>437</v>
      </c>
      <c r="K27" s="142"/>
      <c r="L27" s="142"/>
      <c r="M27" s="459"/>
      <c r="P27" s="3"/>
    </row>
    <row r="28" spans="1:16" ht="18.75" customHeight="1">
      <c r="A28" s="602"/>
      <c r="B28" s="589"/>
      <c r="C28" s="597"/>
      <c r="D28" s="597"/>
      <c r="E28" s="157">
        <v>27600000</v>
      </c>
      <c r="F28" s="157">
        <v>27600000</v>
      </c>
      <c r="G28" s="839"/>
      <c r="H28" s="575"/>
      <c r="I28" s="597"/>
      <c r="J28" s="27" t="s">
        <v>438</v>
      </c>
      <c r="K28" s="462"/>
      <c r="L28" s="462"/>
      <c r="M28" s="463"/>
      <c r="P28" s="3"/>
    </row>
    <row r="29" spans="1:16" ht="18.75" customHeight="1">
      <c r="A29" s="602"/>
      <c r="B29" s="76" t="s">
        <v>48</v>
      </c>
      <c r="C29" s="77" t="s">
        <v>49</v>
      </c>
      <c r="D29" s="77" t="s">
        <v>96</v>
      </c>
      <c r="E29" s="461"/>
      <c r="F29" s="461"/>
      <c r="G29" s="456">
        <f t="shared" si="0"/>
        <v>0</v>
      </c>
      <c r="H29" s="582" t="s">
        <v>439</v>
      </c>
      <c r="I29" s="576" t="s">
        <v>440</v>
      </c>
      <c r="J29" s="27" t="s">
        <v>441</v>
      </c>
      <c r="K29" s="462"/>
      <c r="L29" s="464"/>
      <c r="M29" s="463"/>
      <c r="P29" s="3"/>
    </row>
    <row r="30" spans="1:16" ht="18.75" customHeight="1">
      <c r="A30" s="602"/>
      <c r="B30" s="81" t="s">
        <v>98</v>
      </c>
      <c r="C30" s="82" t="s">
        <v>99</v>
      </c>
      <c r="D30" s="82" t="s">
        <v>100</v>
      </c>
      <c r="E30" s="465"/>
      <c r="F30" s="465"/>
      <c r="G30" s="456">
        <f t="shared" si="0"/>
        <v>0</v>
      </c>
      <c r="H30" s="589"/>
      <c r="I30" s="597"/>
      <c r="J30" s="27" t="s">
        <v>442</v>
      </c>
      <c r="K30" s="464">
        <v>10787140</v>
      </c>
      <c r="L30" s="45">
        <v>11444824</v>
      </c>
      <c r="M30" s="466">
        <f>K30-L30</f>
        <v>-657684</v>
      </c>
      <c r="P30" s="3"/>
    </row>
    <row r="31" spans="1:16" ht="18.75" customHeight="1">
      <c r="A31" s="602"/>
      <c r="B31" s="86" t="s">
        <v>410</v>
      </c>
      <c r="C31" s="87" t="s">
        <v>443</v>
      </c>
      <c r="D31" s="87" t="s">
        <v>412</v>
      </c>
      <c r="E31" s="467"/>
      <c r="F31" s="467"/>
      <c r="G31" s="456">
        <f t="shared" si="0"/>
        <v>0</v>
      </c>
      <c r="H31" s="90" t="s">
        <v>444</v>
      </c>
      <c r="I31" s="9" t="s">
        <v>445</v>
      </c>
      <c r="J31" s="16" t="s">
        <v>446</v>
      </c>
      <c r="K31" s="468"/>
      <c r="L31" s="45"/>
      <c r="M31" s="469"/>
      <c r="P31" s="3"/>
    </row>
    <row r="32" spans="1:16" ht="18.75" customHeight="1">
      <c r="A32" s="602"/>
      <c r="B32" s="81" t="s">
        <v>108</v>
      </c>
      <c r="C32" s="82" t="s">
        <v>109</v>
      </c>
      <c r="D32" s="82" t="s">
        <v>110</v>
      </c>
      <c r="E32" s="465"/>
      <c r="F32" s="465"/>
      <c r="G32" s="456">
        <f t="shared" si="0"/>
        <v>0</v>
      </c>
      <c r="H32" s="103" t="s">
        <v>447</v>
      </c>
      <c r="I32" s="10" t="s">
        <v>448</v>
      </c>
      <c r="J32" s="10" t="s">
        <v>113</v>
      </c>
      <c r="K32" s="470"/>
      <c r="L32" s="470"/>
      <c r="M32" s="459"/>
    </row>
    <row r="33" spans="1:13" ht="18.75" customHeight="1">
      <c r="A33" s="602"/>
      <c r="B33" s="181" t="s">
        <v>416</v>
      </c>
      <c r="C33" s="61" t="s">
        <v>417</v>
      </c>
      <c r="D33" s="61" t="s">
        <v>418</v>
      </c>
      <c r="E33" s="455"/>
      <c r="F33" s="455"/>
      <c r="G33" s="456">
        <f t="shared" si="0"/>
        <v>0</v>
      </c>
      <c r="H33" s="738" t="s">
        <v>449</v>
      </c>
      <c r="I33" s="592" t="s">
        <v>450</v>
      </c>
      <c r="J33" s="592" t="s">
        <v>451</v>
      </c>
      <c r="K33" s="464"/>
      <c r="L33" s="464"/>
      <c r="M33" s="832">
        <f>K34-L34</f>
        <v>0</v>
      </c>
    </row>
    <row r="34" spans="1:13" ht="18.75" customHeight="1">
      <c r="A34" s="602"/>
      <c r="B34" s="81" t="s">
        <v>452</v>
      </c>
      <c r="C34" s="82" t="s">
        <v>453</v>
      </c>
      <c r="D34" s="82" t="s">
        <v>454</v>
      </c>
      <c r="E34" s="465"/>
      <c r="F34" s="465"/>
      <c r="G34" s="456">
        <f t="shared" si="0"/>
        <v>0</v>
      </c>
      <c r="H34" s="741"/>
      <c r="I34" s="593"/>
      <c r="J34" s="593"/>
      <c r="K34" s="142">
        <v>4836269</v>
      </c>
      <c r="L34" s="142">
        <v>4836269</v>
      </c>
      <c r="M34" s="833"/>
    </row>
    <row r="35" spans="1:13" ht="27">
      <c r="A35" s="602"/>
      <c r="B35" s="582" t="s">
        <v>422</v>
      </c>
      <c r="C35" s="584" t="s">
        <v>423</v>
      </c>
      <c r="D35" s="101" t="s">
        <v>455</v>
      </c>
      <c r="E35" s="458"/>
      <c r="F35" s="458"/>
      <c r="G35" s="456">
        <f t="shared" si="0"/>
        <v>0</v>
      </c>
      <c r="H35" s="738" t="s">
        <v>456</v>
      </c>
      <c r="I35" s="592" t="s">
        <v>457</v>
      </c>
      <c r="J35" s="592" t="s">
        <v>127</v>
      </c>
      <c r="K35" s="464"/>
      <c r="L35" s="464"/>
      <c r="M35" s="471"/>
    </row>
    <row r="36" spans="1:13" ht="18.75" customHeight="1">
      <c r="A36" s="602"/>
      <c r="B36" s="575"/>
      <c r="C36" s="577"/>
      <c r="D36" s="269" t="s">
        <v>458</v>
      </c>
      <c r="E36" s="458"/>
      <c r="F36" s="458"/>
      <c r="G36" s="472"/>
      <c r="H36" s="834"/>
      <c r="I36" s="836"/>
      <c r="J36" s="836"/>
      <c r="K36" s="470"/>
      <c r="L36" s="470"/>
      <c r="M36" s="474"/>
    </row>
    <row r="37" spans="1:13" ht="18.75" customHeight="1" thickBot="1">
      <c r="A37" s="602"/>
      <c r="B37" s="475" t="s">
        <v>459</v>
      </c>
      <c r="C37" s="209" t="s">
        <v>460</v>
      </c>
      <c r="D37" s="476" t="s">
        <v>461</v>
      </c>
      <c r="E37" s="157"/>
      <c r="F37" s="157">
        <v>14012833</v>
      </c>
      <c r="G37" s="456">
        <f t="shared" si="0"/>
        <v>-14012833</v>
      </c>
      <c r="H37" s="835"/>
      <c r="I37" s="837"/>
      <c r="J37" s="837"/>
      <c r="K37" s="470">
        <v>0</v>
      </c>
      <c r="L37" s="470">
        <v>0</v>
      </c>
      <c r="M37" s="474">
        <v>0</v>
      </c>
    </row>
    <row r="38" spans="1:13" ht="18.75" customHeight="1" thickTop="1" thickBot="1">
      <c r="A38" s="114"/>
      <c r="B38" s="183" t="s">
        <v>79</v>
      </c>
      <c r="C38" s="477"/>
      <c r="D38" s="477"/>
      <c r="E38" s="478">
        <f>SUM(E23:E37)</f>
        <v>236644409</v>
      </c>
      <c r="F38" s="478">
        <f>SUM(F23:F37)</f>
        <v>237302093</v>
      </c>
      <c r="G38" s="479">
        <f>SUM(G23:G37)</f>
        <v>-657684</v>
      </c>
      <c r="H38" s="160" t="s">
        <v>79</v>
      </c>
      <c r="I38" s="452"/>
      <c r="J38" s="452"/>
      <c r="K38" s="480">
        <f>SUM(K23:K37)</f>
        <v>236644409</v>
      </c>
      <c r="L38" s="480">
        <f>SUM(L23:L37)</f>
        <v>237302093</v>
      </c>
      <c r="M38" s="481">
        <f>SUM(M23:M37)</f>
        <v>-657684</v>
      </c>
    </row>
    <row r="39" spans="1:13" ht="18.75" customHeight="1">
      <c r="A39" s="586" t="s">
        <v>462</v>
      </c>
      <c r="B39" s="588" t="s">
        <v>17</v>
      </c>
      <c r="C39" s="123" t="s">
        <v>18</v>
      </c>
      <c r="D39" s="123" t="s">
        <v>132</v>
      </c>
      <c r="E39" s="187"/>
      <c r="F39" s="187"/>
      <c r="G39" s="482"/>
      <c r="H39" s="483" t="s">
        <v>463</v>
      </c>
      <c r="I39" s="484" t="s">
        <v>464</v>
      </c>
      <c r="J39" s="484" t="s">
        <v>465</v>
      </c>
      <c r="K39" s="485"/>
      <c r="L39" s="485"/>
      <c r="M39" s="486"/>
    </row>
    <row r="40" spans="1:13" ht="18.75" customHeight="1">
      <c r="A40" s="587"/>
      <c r="B40" s="583"/>
      <c r="C40" s="64" t="s">
        <v>24</v>
      </c>
      <c r="D40" s="64" t="s">
        <v>136</v>
      </c>
      <c r="E40" s="149"/>
      <c r="F40" s="149"/>
      <c r="G40" s="286"/>
      <c r="H40" s="287" t="s">
        <v>395</v>
      </c>
      <c r="I40" s="15" t="s">
        <v>466</v>
      </c>
      <c r="J40" s="133" t="s">
        <v>396</v>
      </c>
      <c r="K40" s="11"/>
      <c r="L40" s="11"/>
      <c r="M40" s="487"/>
    </row>
    <row r="41" spans="1:13" ht="18.75" customHeight="1">
      <c r="A41" s="587"/>
      <c r="B41" s="589"/>
      <c r="C41" s="64" t="s">
        <v>31</v>
      </c>
      <c r="D41" s="64" t="s">
        <v>140</v>
      </c>
      <c r="E41" s="149"/>
      <c r="F41" s="149"/>
      <c r="G41" s="286"/>
      <c r="H41" s="730" t="s">
        <v>467</v>
      </c>
      <c r="I41" s="592" t="s">
        <v>468</v>
      </c>
      <c r="J41" s="592" t="s">
        <v>469</v>
      </c>
      <c r="K41" s="140"/>
      <c r="L41" s="140"/>
      <c r="M41" s="828"/>
    </row>
    <row r="42" spans="1:13" ht="18.75" customHeight="1">
      <c r="A42" s="587"/>
      <c r="B42" s="574" t="s">
        <v>90</v>
      </c>
      <c r="C42" s="576" t="s">
        <v>37</v>
      </c>
      <c r="D42" s="576" t="s">
        <v>143</v>
      </c>
      <c r="E42" s="193"/>
      <c r="F42" s="193"/>
      <c r="G42" s="830"/>
      <c r="H42" s="731"/>
      <c r="I42" s="593"/>
      <c r="J42" s="593"/>
      <c r="K42" s="133"/>
      <c r="L42" s="140"/>
      <c r="M42" s="829"/>
    </row>
    <row r="43" spans="1:13" ht="18.75" customHeight="1">
      <c r="A43" s="587"/>
      <c r="B43" s="575"/>
      <c r="C43" s="577"/>
      <c r="D43" s="577"/>
      <c r="E43" s="194"/>
      <c r="F43" s="194"/>
      <c r="G43" s="831"/>
      <c r="H43" s="292" t="s">
        <v>470</v>
      </c>
      <c r="I43" s="9" t="s">
        <v>471</v>
      </c>
      <c r="J43" s="9" t="s">
        <v>472</v>
      </c>
      <c r="K43" s="140"/>
      <c r="L43" s="11"/>
      <c r="M43" s="488"/>
    </row>
    <row r="44" spans="1:13" ht="18.75" customHeight="1">
      <c r="A44" s="587"/>
      <c r="B44" s="99" t="s">
        <v>434</v>
      </c>
      <c r="C44" s="15" t="s">
        <v>473</v>
      </c>
      <c r="D44" s="15" t="s">
        <v>436</v>
      </c>
      <c r="E44" s="133"/>
      <c r="F44" s="133"/>
      <c r="G44" s="489"/>
      <c r="H44" s="294" t="s">
        <v>398</v>
      </c>
      <c r="I44" s="10" t="s">
        <v>399</v>
      </c>
      <c r="J44" s="16" t="s">
        <v>150</v>
      </c>
      <c r="K44" s="197"/>
      <c r="L44" s="11"/>
      <c r="M44" s="490"/>
    </row>
    <row r="45" spans="1:13" ht="18.75" customHeight="1">
      <c r="A45" s="587"/>
      <c r="B45" s="144" t="s">
        <v>474</v>
      </c>
      <c r="C45" s="71" t="s">
        <v>475</v>
      </c>
      <c r="D45" s="71" t="s">
        <v>476</v>
      </c>
      <c r="E45" s="148"/>
      <c r="F45" s="148"/>
      <c r="G45" s="491"/>
      <c r="H45" s="296" t="s">
        <v>477</v>
      </c>
      <c r="I45" s="10" t="s">
        <v>478</v>
      </c>
      <c r="J45" s="10" t="s">
        <v>113</v>
      </c>
      <c r="K45" s="140"/>
      <c r="L45" s="140"/>
      <c r="M45" s="492"/>
    </row>
    <row r="46" spans="1:13" ht="18.75" customHeight="1">
      <c r="A46" s="587"/>
      <c r="B46" s="103" t="s">
        <v>98</v>
      </c>
      <c r="C46" s="10" t="s">
        <v>99</v>
      </c>
      <c r="D46" s="10" t="s">
        <v>100</v>
      </c>
      <c r="E46" s="140"/>
      <c r="F46" s="11"/>
      <c r="G46" s="493"/>
      <c r="H46" s="298" t="s">
        <v>479</v>
      </c>
      <c r="I46" s="71" t="s">
        <v>480</v>
      </c>
      <c r="J46" s="71" t="s">
        <v>446</v>
      </c>
      <c r="K46" s="148"/>
      <c r="L46" s="148"/>
      <c r="M46" s="494"/>
    </row>
    <row r="47" spans="1:13" ht="18.75" customHeight="1">
      <c r="A47" s="587"/>
      <c r="B47" s="64" t="s">
        <v>108</v>
      </c>
      <c r="C47" s="64" t="s">
        <v>109</v>
      </c>
      <c r="D47" s="149" t="s">
        <v>110</v>
      </c>
      <c r="E47" s="203"/>
      <c r="F47" s="25"/>
      <c r="G47" s="435"/>
      <c r="H47" s="287" t="s">
        <v>481</v>
      </c>
      <c r="I47" s="15" t="s">
        <v>482</v>
      </c>
      <c r="J47" s="15" t="s">
        <v>408</v>
      </c>
      <c r="K47" s="133"/>
      <c r="L47" s="133"/>
      <c r="M47" s="492"/>
    </row>
    <row r="48" spans="1:13" ht="18.75" customHeight="1">
      <c r="A48" s="587"/>
      <c r="B48" s="70" t="s">
        <v>483</v>
      </c>
      <c r="C48" s="64" t="s">
        <v>484</v>
      </c>
      <c r="D48" s="149" t="s">
        <v>485</v>
      </c>
      <c r="E48" s="25"/>
      <c r="F48" s="25"/>
      <c r="G48" s="495"/>
      <c r="H48" s="298" t="s">
        <v>486</v>
      </c>
      <c r="I48" s="71" t="s">
        <v>487</v>
      </c>
      <c r="J48" s="71" t="s">
        <v>488</v>
      </c>
      <c r="K48" s="148"/>
      <c r="L48" s="148"/>
      <c r="M48" s="494"/>
    </row>
    <row r="49" spans="1:13" ht="18.75" customHeight="1" thickBot="1">
      <c r="A49" s="587"/>
      <c r="B49" s="76" t="s">
        <v>489</v>
      </c>
      <c r="C49" s="77" t="s">
        <v>490</v>
      </c>
      <c r="D49" s="77" t="s">
        <v>418</v>
      </c>
      <c r="E49" s="206"/>
      <c r="F49" s="206"/>
      <c r="G49" s="496"/>
      <c r="H49" s="497" t="s">
        <v>491</v>
      </c>
      <c r="I49" s="209" t="s">
        <v>492</v>
      </c>
      <c r="J49" s="209" t="s">
        <v>493</v>
      </c>
      <c r="K49" s="140"/>
      <c r="L49" s="140"/>
      <c r="M49" s="492"/>
    </row>
    <row r="50" spans="1:13" ht="18.75" customHeight="1" thickTop="1" thickBot="1">
      <c r="A50" s="159"/>
      <c r="B50" s="160" t="s">
        <v>494</v>
      </c>
      <c r="C50" s="161"/>
      <c r="D50" s="162"/>
      <c r="E50" s="210"/>
      <c r="F50" s="210"/>
      <c r="G50" s="498">
        <f>SUM(G39:G49)</f>
        <v>0</v>
      </c>
      <c r="H50" s="451" t="s">
        <v>494</v>
      </c>
      <c r="I50" s="162"/>
      <c r="J50" s="162"/>
      <c r="K50" s="210"/>
      <c r="L50" s="210"/>
      <c r="M50" s="454">
        <f>SUM(M39:M49)</f>
        <v>0</v>
      </c>
    </row>
    <row r="51" spans="1:13" ht="18.75" customHeight="1" thickBot="1">
      <c r="A51" s="166"/>
      <c r="B51" s="167" t="s">
        <v>178</v>
      </c>
      <c r="C51" s="168"/>
      <c r="D51" s="168"/>
      <c r="E51" s="499"/>
      <c r="F51" s="499"/>
      <c r="G51" s="500"/>
      <c r="H51" s="501" t="s">
        <v>178</v>
      </c>
      <c r="I51" s="502"/>
      <c r="J51" s="502"/>
      <c r="K51" s="503"/>
      <c r="L51" s="503"/>
      <c r="M51" s="504"/>
    </row>
    <row r="58" spans="1:13">
      <c r="B58" s="172"/>
    </row>
    <row r="59" spans="1:13">
      <c r="A59" s="173"/>
      <c r="B59" s="174"/>
      <c r="C59" s="174"/>
    </row>
    <row r="60" spans="1:13">
      <c r="B60" s="172" t="s">
        <v>179</v>
      </c>
    </row>
    <row r="61" spans="1:13">
      <c r="B61" s="172"/>
    </row>
    <row r="62" spans="1:13">
      <c r="B62" s="172"/>
    </row>
    <row r="63" spans="1:13">
      <c r="B63" s="172"/>
      <c r="C63" s="175"/>
      <c r="D63" s="175"/>
      <c r="E63" s="175"/>
      <c r="F63" s="175"/>
      <c r="G63" s="175"/>
    </row>
    <row r="64" spans="1:13">
      <c r="B64" s="172"/>
    </row>
    <row r="65" spans="2:12">
      <c r="B65" s="172"/>
    </row>
    <row r="66" spans="2:12">
      <c r="B66" s="172"/>
    </row>
    <row r="67" spans="2:12">
      <c r="B67" s="172"/>
    </row>
    <row r="68" spans="2:12">
      <c r="B68" s="172"/>
    </row>
    <row r="69" spans="2:12">
      <c r="B69" s="172"/>
    </row>
    <row r="70" spans="2:12">
      <c r="B70" s="172"/>
    </row>
    <row r="72" spans="2:12">
      <c r="B72" s="569"/>
      <c r="C72" s="569"/>
      <c r="D72" s="569"/>
      <c r="E72" s="569"/>
      <c r="F72" s="569"/>
      <c r="G72" s="569"/>
      <c r="H72" s="569"/>
      <c r="I72" s="569"/>
      <c r="J72" s="569"/>
      <c r="K72" s="176"/>
      <c r="L72" s="176"/>
    </row>
    <row r="74" spans="2:12">
      <c r="B74" s="570"/>
      <c r="C74" s="570"/>
      <c r="D74" s="570"/>
      <c r="E74" s="570"/>
      <c r="F74" s="570"/>
      <c r="G74" s="570"/>
      <c r="H74" s="570"/>
      <c r="I74" s="570"/>
      <c r="J74" s="570"/>
      <c r="K74" s="177"/>
      <c r="L74" s="177"/>
    </row>
  </sheetData>
  <mergeCells count="73">
    <mergeCell ref="A5:M5"/>
    <mergeCell ref="A1:B1"/>
    <mergeCell ref="A2:B2"/>
    <mergeCell ref="C2:D2"/>
    <mergeCell ref="A3:M3"/>
    <mergeCell ref="A4:M4"/>
    <mergeCell ref="A6:M6"/>
    <mergeCell ref="A7:A9"/>
    <mergeCell ref="B7:G7"/>
    <mergeCell ref="H7:M7"/>
    <mergeCell ref="B8:D8"/>
    <mergeCell ref="E8:E9"/>
    <mergeCell ref="F8:F9"/>
    <mergeCell ref="G8:G9"/>
    <mergeCell ref="H8:J8"/>
    <mergeCell ref="K8:K9"/>
    <mergeCell ref="L8:L9"/>
    <mergeCell ref="M8:M9"/>
    <mergeCell ref="A10:A21"/>
    <mergeCell ref="B10:B14"/>
    <mergeCell ref="G10:G11"/>
    <mergeCell ref="H10:H11"/>
    <mergeCell ref="I10:I11"/>
    <mergeCell ref="J10:J11"/>
    <mergeCell ref="M10:M11"/>
    <mergeCell ref="G12:G13"/>
    <mergeCell ref="H12:H13"/>
    <mergeCell ref="I12:I13"/>
    <mergeCell ref="J12:J13"/>
    <mergeCell ref="M12:M13"/>
    <mergeCell ref="H16:H17"/>
    <mergeCell ref="I16:I17"/>
    <mergeCell ref="H18:H19"/>
    <mergeCell ref="I18:I19"/>
    <mergeCell ref="J18:J19"/>
    <mergeCell ref="M18:M19"/>
    <mergeCell ref="H20:H21"/>
    <mergeCell ref="I20:I21"/>
    <mergeCell ref="M23:M24"/>
    <mergeCell ref="H25:H28"/>
    <mergeCell ref="I25:I28"/>
    <mergeCell ref="B27:B28"/>
    <mergeCell ref="C27:C28"/>
    <mergeCell ref="A23:A37"/>
    <mergeCell ref="B23:B25"/>
    <mergeCell ref="H23:H24"/>
    <mergeCell ref="I23:I24"/>
    <mergeCell ref="J23:J24"/>
    <mergeCell ref="D27:D28"/>
    <mergeCell ref="G27:G28"/>
    <mergeCell ref="H29:H30"/>
    <mergeCell ref="I29:I30"/>
    <mergeCell ref="H33:H34"/>
    <mergeCell ref="I33:I34"/>
    <mergeCell ref="J33:J34"/>
    <mergeCell ref="M33:M34"/>
    <mergeCell ref="B35:B36"/>
    <mergeCell ref="C35:C36"/>
    <mergeCell ref="H35:H37"/>
    <mergeCell ref="I35:I37"/>
    <mergeCell ref="J35:J37"/>
    <mergeCell ref="M41:M42"/>
    <mergeCell ref="B42:B43"/>
    <mergeCell ref="C42:C43"/>
    <mergeCell ref="D42:D43"/>
    <mergeCell ref="G42:G43"/>
    <mergeCell ref="B72:J72"/>
    <mergeCell ref="B74:J74"/>
    <mergeCell ref="A39:A49"/>
    <mergeCell ref="B39:B41"/>
    <mergeCell ref="H41:H42"/>
    <mergeCell ref="I41:I42"/>
    <mergeCell ref="J41:J42"/>
  </mergeCells>
  <phoneticPr fontId="3" type="noConversion"/>
  <pageMargins left="0.47" right="0.27559055118110237" top="0.39" bottom="0.22" header="0.26" footer="0.35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★전체총괄</vt:lpstr>
      <vt:lpstr>★본부총괄</vt:lpstr>
      <vt:lpstr>본부세입세출</vt:lpstr>
      <vt:lpstr>★서울총괄</vt:lpstr>
      <vt:lpstr>서울-세입세출</vt:lpstr>
      <vt:lpstr>★부산총괄</vt:lpstr>
      <vt:lpstr>★울산총괄</vt:lpstr>
      <vt:lpstr>★본부총괄!Print_Area</vt:lpstr>
      <vt:lpstr>★부산총괄!Print_Area</vt:lpstr>
      <vt:lpstr>★서울총괄!Print_Area</vt:lpstr>
      <vt:lpstr>★울산총괄!Print_Area</vt:lpstr>
      <vt:lpstr>★전체총괄!Print_Area</vt:lpstr>
      <vt:lpstr>본부세입세출!Print_Area</vt:lpstr>
      <vt:lpstr>'서울-세입세출'!Print_Area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</dc:creator>
  <cp:lastModifiedBy>c0</cp:lastModifiedBy>
  <cp:lastPrinted>2017-03-27T10:00:18Z</cp:lastPrinted>
  <dcterms:created xsi:type="dcterms:W3CDTF">2017-03-24T07:33:14Z</dcterms:created>
  <dcterms:modified xsi:type="dcterms:W3CDTF">2017-03-27T10:03:02Z</dcterms:modified>
</cp:coreProperties>
</file>